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97"/>
  </bookViews>
  <sheets>
    <sheet name="JANUARY 2026" sheetId="1" r:id="rId1"/>
    <sheet name="MEMO" sheetId="68" r:id="rId2"/>
    <sheet name="Changes in PAYE (4)" sheetId="237" r:id="rId3"/>
    <sheet name="New Steps, Pensions &amp; NHF" sheetId="238" r:id="rId4"/>
    <sheet name="Basic &amp; Pensions (2)" sheetId="239" r:id="rId5"/>
    <sheet name="Sheet18" sheetId="235" r:id="rId6"/>
    <sheet name="2025 Promotions (2)" sheetId="232" r:id="rId7"/>
    <sheet name="Christmas Welfare 2025 (2)" sheetId="233" r:id="rId8"/>
    <sheet name="Sum of Welfare (3)" sheetId="234" r:id="rId9"/>
    <sheet name="New NHF Enrolment (3)" sheetId="236" r:id="rId10"/>
    <sheet name="Sheet17" sheetId="231" r:id="rId11"/>
    <sheet name="Changes in PAYE (3)" sheetId="227" r:id="rId12"/>
    <sheet name="New NHF Enrolment (2)" sheetId="230" r:id="rId13"/>
    <sheet name="Sheet16" sheetId="228" r:id="rId14"/>
    <sheet name="2025 Promotions" sheetId="219" r:id="rId15"/>
    <sheet name="Conversion" sheetId="220" r:id="rId16"/>
    <sheet name="PAYE - Conversion" sheetId="223" r:id="rId17"/>
    <sheet name="Sheet15" sheetId="225" r:id="rId18"/>
    <sheet name="Changes in PAYE (2)" sheetId="224" r:id="rId19"/>
    <sheet name="Sheet14" sheetId="222" r:id="rId20"/>
    <sheet name="New Contract" sheetId="221" r:id="rId21"/>
    <sheet name="Changes in Aug." sheetId="218" r:id="rId22"/>
    <sheet name="Shift duty" sheetId="214" r:id="rId23"/>
    <sheet name="Changes in July" sheetId="215" r:id="rId24"/>
    <sheet name="JULY 2025 (2)" sheetId="217" r:id="rId25"/>
    <sheet name="Sheet13" sheetId="216" r:id="rId26"/>
    <sheet name="Basic &amp; Pensions" sheetId="207" r:id="rId27"/>
    <sheet name="Changes in PAYE" sheetId="209" r:id="rId28"/>
    <sheet name="New NHF Enrolment" sheetId="211" r:id="rId29"/>
    <sheet name="PAYE of NHF Enrol" sheetId="212" r:id="rId30"/>
    <sheet name="Arrears Jan-May" sheetId="213" r:id="rId31"/>
    <sheet name="Sheet12" sheetId="210" r:id="rId32"/>
    <sheet name="Wage Award" sheetId="206" r:id="rId33"/>
    <sheet name="N0 on GL" sheetId="203" r:id="rId34"/>
    <sheet name="Total" sheetId="205" r:id="rId35"/>
    <sheet name="2025 GL STEPS" sheetId="195" r:id="rId36"/>
    <sheet name="Welfare June 25" sheetId="200" r:id="rId37"/>
    <sheet name="Sum of Welfare (2)" sheetId="201" r:id="rId38"/>
    <sheet name="Sheet11" sheetId="199" r:id="rId39"/>
    <sheet name="PAYE" sheetId="196" r:id="rId40"/>
    <sheet name="MAY New PAYE  (3)" sheetId="198" r:id="rId41"/>
    <sheet name="Sheet7" sheetId="194" r:id="rId42"/>
    <sheet name="Changes" sheetId="192" r:id="rId43"/>
    <sheet name="2024 Promotion Arrears" sheetId="176" r:id="rId44"/>
    <sheet name="APRIL New PAYE  (2)" sheetId="193" r:id="rId45"/>
    <sheet name="Sheet6" sheetId="191" r:id="rId46"/>
    <sheet name=" PAYE regul" sheetId="182" r:id="rId47"/>
    <sheet name="Promotion in Sept" sheetId="172" r:id="rId48"/>
    <sheet name="Tax on Arrears" sheetId="183" r:id="rId49"/>
    <sheet name="Stoppage of Salary" sheetId="184" r:id="rId50"/>
    <sheet name="New PAYE" sheetId="180" r:id="rId51"/>
    <sheet name="New Pensions Promotion" sheetId="181" r:id="rId52"/>
    <sheet name="Conversion in Nov" sheetId="179" r:id="rId53"/>
    <sheet name="Christmas Welfare 2024" sheetId="186" r:id="rId54"/>
    <sheet name="Sum of Welfare" sheetId="185" r:id="rId55"/>
    <sheet name="Staff Bonus" sheetId="188" r:id="rId56"/>
    <sheet name="Sum of Bonus" sheetId="187" r:id="rId57"/>
    <sheet name="Bonus PAYE" sheetId="190" r:id="rId58"/>
    <sheet name="Sheet5" sheetId="189" r:id="rId59"/>
    <sheet name="New Enrolmt" sheetId="170" r:id="rId60"/>
    <sheet name="1ST 28 DAYS" sheetId="163" r:id="rId61"/>
    <sheet name="Conversion in Sept" sheetId="174" r:id="rId62"/>
    <sheet name="Conversion &amp; Enrol Effect" sheetId="164" r:id="rId63"/>
    <sheet name="Converted Staff PAYE" sheetId="169" r:id="rId64"/>
    <sheet name="Movt to Contract" sheetId="167" r:id="rId65"/>
    <sheet name="Sheet10" sheetId="168" r:id="rId66"/>
    <sheet name="Sheet8" sheetId="166" r:id="rId67"/>
    <sheet name="Welfare June" sheetId="161" r:id="rId68"/>
    <sheet name="Welfare Summary" sheetId="162" r:id="rId69"/>
    <sheet name="Arrears of Res. Allow" sheetId="159" r:id="rId70"/>
    <sheet name="Additional Leg Duty Allowance" sheetId="153" r:id="rId71"/>
    <sheet name="March New PAYE " sheetId="154" r:id="rId72"/>
    <sheet name="Upgrade in March" sheetId="155" r:id="rId73"/>
    <sheet name="New NHF Deduction" sheetId="156" r:id="rId74"/>
    <sheet name="Regularisation" sheetId="152" r:id="rId75"/>
    <sheet name="Sallah Welfare, April 2024" sheetId="158" r:id="rId76"/>
    <sheet name="Sheet4" sheetId="157" r:id="rId77"/>
    <sheet name="January Arrears" sheetId="149" r:id="rId78"/>
    <sheet name="Tax Reg Sch. " sheetId="146" r:id="rId79"/>
    <sheet name=" Excess Ded Paid" sheetId="142" r:id="rId80"/>
    <sheet name="Changes in Gross &amp; PAYE " sheetId="143" r:id="rId81"/>
    <sheet name="May New PAYE " sheetId="147" r:id="rId82"/>
    <sheet name="Employee Pensions" sheetId="144" r:id="rId83"/>
    <sheet name="Upgrade in Feb." sheetId="150" r:id="rId84"/>
    <sheet name="Coop. Ded for Feb." sheetId="151" r:id="rId85"/>
    <sheet name="ENHANCED WELFARE 2024" sheetId="140" r:id="rId86"/>
    <sheet name="PROMOTIONS " sheetId="131" r:id="rId87"/>
    <sheet name="CHRISTMAS WELFARE" sheetId="135" r:id="rId88"/>
    <sheet name="CHRISTMAS WELFARE 1" sheetId="134" r:id="rId89"/>
    <sheet name="HALF 2023 (2)" sheetId="137" r:id="rId90"/>
    <sheet name="Sheet3" sheetId="136" r:id="rId91"/>
    <sheet name="NEW ENROLMENT IN NOVEMBER (2)" sheetId="132" r:id="rId92"/>
    <sheet name="Regularisation IN NOVEMBER (3)" sheetId="133" r:id="rId93"/>
    <sheet name="Sheet2" sheetId="130" r:id="rId94"/>
    <sheet name="PROMOTIONS" sheetId="129" r:id="rId95"/>
    <sheet name="SALARY STRUCTURE" sheetId="128" r:id="rId96"/>
    <sheet name="Wage Grant" sheetId="124" r:id="rId97"/>
    <sheet name="Wage Grant (2)" sheetId="126" r:id="rId98"/>
    <sheet name="1st 28 days in Nov" sheetId="123" r:id="rId99"/>
    <sheet name="Sallah Welfare April 2023" sheetId="119" r:id="rId100"/>
    <sheet name="Sallah Welfare June 2023" sheetId="120" r:id="rId101"/>
    <sheet name="Sallah Welfare June 2023 Latest" sheetId="121" r:id="rId102"/>
    <sheet name="Sheet1" sheetId="117" r:id="rId103"/>
    <sheet name="January 2023 PAYE" sheetId="115" r:id="rId104"/>
    <sheet name="January 2023 NHF)" sheetId="116" r:id="rId105"/>
    <sheet name="PAYE Computation" sheetId="114" r:id="rId106"/>
    <sheet name="Tax adj August, 2022" sheetId="87" r:id="rId107"/>
    <sheet name="Annual Increement" sheetId="78" r:id="rId108"/>
    <sheet name="Enhanced Welfare 2023 (2)" sheetId="110" r:id="rId109"/>
    <sheet name="Enhanced Welfare 2023 (3)" sheetId="113" r:id="rId110"/>
    <sheet name="17.9" sheetId="4" r:id="rId111"/>
    <sheet name="16.7" sheetId="5" r:id="rId112"/>
    <sheet name="15.7.1" sheetId="6" r:id="rId113"/>
    <sheet name="13.7" sheetId="7" r:id="rId114"/>
    <sheet name="12.7" sheetId="8" r:id="rId115"/>
    <sheet name="10.7" sheetId="9" r:id="rId116"/>
    <sheet name="9.7" sheetId="10" r:id="rId117"/>
    <sheet name="8.7" sheetId="11" r:id="rId118"/>
    <sheet name="SUMMARY" sheetId="12" r:id="rId119"/>
    <sheet name="14.7" sheetId="13" r:id="rId120"/>
    <sheet name="15.7" sheetId="23" r:id="rId121"/>
    <sheet name="Basic Salary" sheetId="61" r:id="rId122"/>
    <sheet name="JUNE 2023 (2)" sheetId="122" r:id="rId123"/>
    <sheet name="Sheet9" sheetId="197" r:id="rId124"/>
  </sheets>
  <externalReferences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</externalReferences>
  <definedNames>
    <definedName name="_xlnm.Print_Area" localSheetId="70">'Additional Leg Duty Allowance'!$A$1:$U$19</definedName>
    <definedName name="_xlnm.Print_Area" localSheetId="107">'Annual Increement'!$A$1:$AB$191</definedName>
    <definedName name="_xlnm.Print_Area" localSheetId="87">'CHRISTMAS WELFARE'!$A$1:$E$196</definedName>
    <definedName name="_xlnm.Print_Area" localSheetId="53">'Christmas Welfare 2024'!$A$1:$E$207</definedName>
    <definedName name="_xlnm.Print_Area" localSheetId="108">'Enhanced Welfare 2023 (2)'!$A$1:$G$193</definedName>
    <definedName name="_xlnm.Print_Area" localSheetId="109">'Enhanced Welfare 2023 (3)'!$A$1:$G$193</definedName>
    <definedName name="_xlnm.Print_Area" localSheetId="85">'ENHANCED WELFARE 2024'!$A$1:$G$196</definedName>
    <definedName name="_xlnm.Print_Area" localSheetId="0">'JANUARY 2026'!$A$1:$T$251</definedName>
    <definedName name="_xlnm.Print_Area" localSheetId="89">'HALF 2023 (2)'!$A$1:$F$195</definedName>
    <definedName name="_xlnm.Print_Area" localSheetId="104">'January 2023 NHF)'!$A$1:$H$191</definedName>
    <definedName name="_xlnm.Print_Area" localSheetId="103">'January 2023 PAYE'!$A$1:$H$191</definedName>
    <definedName name="_xlnm.Print_Area" localSheetId="122">'JUNE 2023 (2)'!$A$1:$D$190</definedName>
    <definedName name="_xlnm.Print_Area" localSheetId="1">MEMO!$A$1:$H$67</definedName>
    <definedName name="_xlnm.Print_Area" localSheetId="91">'NEW ENROLMENT IN NOVEMBER (2)'!$A$1:$X$14</definedName>
    <definedName name="_xlnm.Print_Area" localSheetId="47">'Promotion in Sept'!$A$1:$V$9</definedName>
    <definedName name="_xlnm.Print_Area" localSheetId="94">PROMOTIONS!$A$1:$AB$47</definedName>
    <definedName name="_xlnm.Print_Area" localSheetId="86">'PROMOTIONS '!$A$1:$AB$27</definedName>
    <definedName name="_xlnm.Print_Area" localSheetId="92">'Regularisation IN NOVEMBER (3)'!$A$1:$X$16</definedName>
    <definedName name="_xlnm.Print_Area" localSheetId="99">'Sallah Welfare April 2023'!$A$1:$E$190</definedName>
    <definedName name="_xlnm.Print_Area" localSheetId="100">'Sallah Welfare June 2023'!$A$1:$E$192</definedName>
    <definedName name="_xlnm.Print_Area" localSheetId="101">'Sallah Welfare June 2023 Latest'!$A$1:$E$189</definedName>
    <definedName name="_xlnm.Print_Area" localSheetId="75">'Sallah Welfare, April 2024'!$A$1:$E$194</definedName>
    <definedName name="_xlnm.Print_Area" localSheetId="55">'Staff Bonus'!$A$1:$F$207</definedName>
    <definedName name="_xlnm.Print_Area" localSheetId="106">'Tax adj August, 2022'!$A$1:$G$202</definedName>
    <definedName name="_xlnm.Print_Area" localSheetId="72">'Upgrade in March'!$A$1:$S$11</definedName>
    <definedName name="_xlnm.Print_Area" localSheetId="96">'Wage Grant'!$A$1:$I$192</definedName>
    <definedName name="_xlnm.Print_Area" localSheetId="97">'Wage Grant (2)'!$A$1:$H$62</definedName>
    <definedName name="_xlnm.Print_Area" localSheetId="67">'Welfare June'!$A$1:$E$194</definedName>
    <definedName name="_xlnm.Print_Titles" localSheetId="70">'Additional Leg Duty Allowance'!$4:$5</definedName>
    <definedName name="_xlnm.Print_Titles" localSheetId="87">'CHRISTMAS WELFARE'!$4:$5</definedName>
    <definedName name="_xlnm.Print_Titles" localSheetId="53">'Christmas Welfare 2024'!$4:$5</definedName>
    <definedName name="_xlnm.Print_Titles" localSheetId="108">'Enhanced Welfare 2023 (2)'!$4:$5</definedName>
    <definedName name="_xlnm.Print_Titles" localSheetId="109">'Enhanced Welfare 2023 (3)'!$4:$5</definedName>
    <definedName name="_xlnm.Print_Titles" localSheetId="85">'ENHANCED WELFARE 2024'!$4:$5</definedName>
    <definedName name="_xlnm.Print_Titles" localSheetId="0">'JANUARY 2026'!$4:$5</definedName>
    <definedName name="_xlnm.Print_Titles" localSheetId="89">'HALF 2023 (2)'!$4:$5</definedName>
    <definedName name="_xlnm.Print_Titles" localSheetId="104">'January 2023 NHF)'!$4:$5</definedName>
    <definedName name="_xlnm.Print_Titles" localSheetId="103">'January 2023 PAYE'!$4:$5</definedName>
    <definedName name="_xlnm.Print_Titles" localSheetId="122">'JUNE 2023 (2)'!$4:$5</definedName>
    <definedName name="_xlnm.Print_Titles" localSheetId="91">'NEW ENROLMENT IN NOVEMBER (2)'!$4:$5</definedName>
    <definedName name="_xlnm.Print_Titles" localSheetId="47">'Promotion in Sept'!$4:$5</definedName>
    <definedName name="_xlnm.Print_Titles" localSheetId="94">PROMOTIONS!$4:$5</definedName>
    <definedName name="_xlnm.Print_Titles" localSheetId="86">'PROMOTIONS '!$4:$5</definedName>
    <definedName name="_xlnm.Print_Titles" localSheetId="92">'Regularisation IN NOVEMBER (3)'!$4:$5</definedName>
    <definedName name="_xlnm.Print_Titles" localSheetId="99">'Sallah Welfare April 2023'!$4:$5</definedName>
    <definedName name="_xlnm.Print_Titles" localSheetId="100">'Sallah Welfare June 2023'!$4:$5</definedName>
    <definedName name="_xlnm.Print_Titles" localSheetId="101">'Sallah Welfare June 2023 Latest'!$4:$5</definedName>
    <definedName name="_xlnm.Print_Titles" localSheetId="75">'Sallah Welfare, April 2024'!$4:$5</definedName>
    <definedName name="_xlnm.Print_Titles" localSheetId="55">'Staff Bonus'!$4:$5</definedName>
    <definedName name="_xlnm.Print_Titles" localSheetId="72">'Upgrade in March'!$4:$5</definedName>
    <definedName name="_xlnm.Print_Titles" localSheetId="96">'Wage Grant'!$5:$5</definedName>
    <definedName name="_xlnm.Print_Titles" localSheetId="97">'Wage Grant (2)'!$5:$5</definedName>
    <definedName name="_xlnm.Print_Titles" localSheetId="67">'Welfare June'!$4:$5</definedName>
    <definedName name="_xlnm.Print_Area" localSheetId="35">'2025 GL STEPS'!$A$1:$I$201</definedName>
    <definedName name="_xlnm.Print_Titles" localSheetId="35">'2025 GL STEPS'!$4:$5</definedName>
    <definedName name="_xlnm.Print_Area" localSheetId="36">'Welfare June 25'!$A$1:$E$199</definedName>
    <definedName name="_xlnm.Print_Titles" localSheetId="36">'Welfare June 25'!$4:$5</definedName>
    <definedName name="_xlnm.Print_Area" localSheetId="26">'Basic &amp; Pensions'!$A$1:$Q$202</definedName>
    <definedName name="_xlnm.Print_Titles" localSheetId="26">'Basic &amp; Pensions'!$4:$5</definedName>
    <definedName name="_xlnm.Print_Area" localSheetId="28">'New NHF Enrolment'!$A$1:$J$202</definedName>
    <definedName name="_xlnm.Print_Titles" localSheetId="28">'New NHF Enrolment'!$4:$5</definedName>
    <definedName name="_xlnm.Print_Area" localSheetId="30">'Arrears Jan-May'!$A$1:$Q$202</definedName>
    <definedName name="_xlnm.Print_Titles" localSheetId="30">'Arrears Jan-May'!$4:$5</definedName>
    <definedName name="_xlnm.Print_Area" localSheetId="24">'JULY 2025 (2)'!$A$1:$E$227</definedName>
    <definedName name="_xlnm.Print_Titles" localSheetId="24">'JULY 2025 (2)'!$4:$5</definedName>
    <definedName name="_xlnm.Print_Titles" localSheetId="14">'2025 Promotions'!$4:$4</definedName>
    <definedName name="_xlnm.Print_Area" localSheetId="15">Conversion!$A$1:$O$29</definedName>
    <definedName name="_xlnm.Print_Titles" localSheetId="15">Conversion!$4:$4</definedName>
    <definedName name="_xlnm.Print_Area" localSheetId="12">'New NHF Enrolment (2)'!$A$1:$J$202</definedName>
    <definedName name="_xlnm.Print_Titles" localSheetId="12">'New NHF Enrolment (2)'!$4:$5</definedName>
    <definedName name="_xlnm.Print_Titles" localSheetId="6">'2025 Promotions (2)'!$4:$4</definedName>
    <definedName name="_xlnm.Print_Area" localSheetId="7">'Christmas Welfare 2025 (2)'!$A$1:$E$252</definedName>
    <definedName name="_xlnm.Print_Titles" localSheetId="7">'Christmas Welfare 2025 (2)'!$4:$5</definedName>
    <definedName name="_xlnm.Print_Area" localSheetId="9">'New NHF Enrolment (3)'!$A$1:$J$202</definedName>
    <definedName name="_xlnm.Print_Titles" localSheetId="9">'New NHF Enrolment (3)'!$4:$5</definedName>
    <definedName name="_xlnm.Print_Area" localSheetId="3">'New Steps, Pensions &amp; NHF'!$A$1:$H$251</definedName>
    <definedName name="_xlnm.Print_Titles" localSheetId="3">'New Steps, Pensions &amp; NHF'!$4:$5</definedName>
    <definedName name="_xlnm.Print_Area" localSheetId="4">'Basic &amp; Pensions (2)'!$A$1:$Q$202</definedName>
    <definedName name="_xlnm.Print_Titles" localSheetId="4">'Basic &amp; Pensions (2)'!$4:$5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<sst xmlns="http://schemas.openxmlformats.org/spreadsheetml/2006/main" count="24352" uniqueCount="1762">
  <si>
    <t>NATIONAL INSTITUTE FOR LEGISLATIVE AND DEMOCRATIC STUDIES</t>
  </si>
  <si>
    <t>STAFF PAYROLL FOR THE MONTH OF JANUARY 2026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</si>
  <si>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</si>
  <si>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</si>
  <si>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</si>
  <si>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</si>
  <si>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</si>
  <si>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</si>
  <si>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</si>
  <si>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</si>
  <si>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</si>
  <si>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</si>
  <si>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 1 LOAN RECOVERY</t>
  </si>
  <si>
    <t>COOP 2  CONTR/SPEC SAVINGS</t>
  </si>
  <si>
    <t>NHF DED.</t>
  </si>
  <si>
    <t>PAYE</t>
  </si>
  <si>
    <t>EMPLOYEE PENSIONS</t>
  </si>
  <si>
    <t>TOTAL DEDUCTION</t>
  </si>
  <si>
    <t>DECEMBER, 2025</t>
  </si>
  <si>
    <t>JANUARY, 2026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</si>
  <si>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</si>
  <si>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</si>
  <si>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</si>
  <si>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</si>
  <si>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</si>
  <si>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</si>
  <si>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</si>
  <si>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</si>
  <si>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</si>
  <si>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</si>
  <si>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</si>
  <si>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</si>
  <si>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</si>
  <si>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</si>
  <si>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</si>
  <si>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16(9)</t>
  </si>
  <si>
    <t>DR FRANCIS NDUM OJIE</t>
  </si>
  <si>
    <t>AD, TRAINING &amp; IC./SA TO DG</t>
  </si>
  <si>
    <t>15(9)</t>
  </si>
  <si>
    <t>ALI ABDULLAHI</t>
  </si>
  <si>
    <t xml:space="preserve">ASST DIRECTOR ICT </t>
  </si>
  <si>
    <t>15(7)</t>
  </si>
  <si>
    <t>EMILY EKHIDE</t>
  </si>
  <si>
    <t xml:space="preserve">SENIOR RESEARCH FELLOW </t>
  </si>
  <si>
    <t>DORIS DAKDA AARON</t>
  </si>
  <si>
    <t>RESEARCH FELLOW I</t>
  </si>
  <si>
    <t>14(10)</t>
  </si>
  <si>
    <t>ABDULSALAM S. MUSTAPHA</t>
  </si>
  <si>
    <t>ASST. DIRECTOR ICT</t>
  </si>
  <si>
    <t>15(8)</t>
  </si>
  <si>
    <t>PERCY TERFA GBAHABO</t>
  </si>
  <si>
    <t>RESEARCH FELLOW 1</t>
  </si>
  <si>
    <t>14(8)</t>
  </si>
  <si>
    <t>HASSANA AHMED IBRAHIM</t>
  </si>
  <si>
    <t>PA- TO DG</t>
  </si>
  <si>
    <t>13(11)</t>
  </si>
  <si>
    <t>IKIP LEBO</t>
  </si>
  <si>
    <t>ASST CHIEF PROC. OFFICER</t>
  </si>
  <si>
    <t>13 (9)</t>
  </si>
  <si>
    <t>ALABI ADESINA MUHYDEEN</t>
  </si>
  <si>
    <t>HEAD, NILDS LIAISON OFFICE</t>
  </si>
  <si>
    <t>BASSEY NSONGURUA UDOFIA</t>
  </si>
  <si>
    <t>PRINC.CONF SEC 1/PPS</t>
  </si>
  <si>
    <t>13(8)</t>
  </si>
  <si>
    <t>ADUGBA RICHARD TERSEER</t>
  </si>
  <si>
    <t>ASSIST. CHIEF INFO OFFICER</t>
  </si>
  <si>
    <t>13(7)</t>
  </si>
  <si>
    <t>LUCKY AGWOM</t>
  </si>
  <si>
    <t>RESEARCH ASSISTANT</t>
  </si>
  <si>
    <t>12(9)</t>
  </si>
  <si>
    <t>IDRIS IBRAHIM</t>
  </si>
  <si>
    <t>PRINCIPAL RESEARCH OFFICER</t>
  </si>
  <si>
    <t>FARUQ ATOFARATI</t>
  </si>
  <si>
    <t>PA (SPECIAL DUTIES) TO DG</t>
  </si>
  <si>
    <t>10(8)</t>
  </si>
  <si>
    <t>RASHEEDAT DAIBU</t>
  </si>
  <si>
    <t>SENIOR INFO. OFFICER</t>
  </si>
  <si>
    <t>10(9)</t>
  </si>
  <si>
    <t>VICTOR ASUKWO</t>
  </si>
  <si>
    <t>SENIOR ICT OFFICER</t>
  </si>
  <si>
    <t>10(7)</t>
  </si>
  <si>
    <t>NNANDI LIVINUS ATURE</t>
  </si>
  <si>
    <t>SENIOR RESEARCH OFFICER</t>
  </si>
  <si>
    <t>ABDULRAHMAN A SULAIMAN</t>
  </si>
  <si>
    <t>STORE OFFICER</t>
  </si>
  <si>
    <t>9(10)</t>
  </si>
  <si>
    <t>DARE SHEU MAGBON</t>
  </si>
  <si>
    <t>ADMINISTRATION OFFICER</t>
  </si>
  <si>
    <t>9(9)</t>
  </si>
  <si>
    <t>ABUBAKAR SULAIMAN SODEEQ</t>
  </si>
  <si>
    <t>SENIOR M&amp;E OFFICER</t>
  </si>
  <si>
    <t>JIMOH ADEBAYO ZAKA</t>
  </si>
  <si>
    <t>SENIOR INFO OFFICER</t>
  </si>
  <si>
    <t>ABDULMUSHIN TAWFIQ LADAN</t>
  </si>
  <si>
    <t>ICT OFFICER</t>
  </si>
  <si>
    <t>MOHAMMED BELLO</t>
  </si>
  <si>
    <t>SENIOR PROTOCOL OFFICER</t>
  </si>
  <si>
    <t>HOLINESS PAUL UDO</t>
  </si>
  <si>
    <t>ADMINISTRATION OFFICER, M&amp;E</t>
  </si>
  <si>
    <t>9(8)</t>
  </si>
  <si>
    <t>CHARITY UDO AKAN</t>
  </si>
  <si>
    <t>SANI UMAR IBRAHIM</t>
  </si>
  <si>
    <t>FAHAD ABUBUKAR LONGMAN</t>
  </si>
  <si>
    <t>HARUNA JIBRIL AMEH</t>
  </si>
  <si>
    <t>ASST. ADMIN. OFFICER</t>
  </si>
  <si>
    <t>8(10)</t>
  </si>
  <si>
    <t>RAMATU IBRAHIM ABDULRAHEEM</t>
  </si>
  <si>
    <t>INFORMATION OFFICER</t>
  </si>
  <si>
    <t>8(9)</t>
  </si>
  <si>
    <t>EDIDIONG EZEKIEL ATAT</t>
  </si>
  <si>
    <t>ASSIST PROCUREMENT OFFICER</t>
  </si>
  <si>
    <t>8(8)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</si>
  <si>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</si>
  <si>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</si>
  <si>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</si>
  <si>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</si>
  <si>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</si>
  <si>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</si>
  <si>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</si>
  <si>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</si>
  <si>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</si>
  <si>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</si>
  <si>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</si>
  <si>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</si>
  <si>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</si>
  <si>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EVELYN ETONKE AGAN</t>
  </si>
  <si>
    <t>ASST DIR AUDIT</t>
  </si>
  <si>
    <t>JAMILA ABDUL</t>
  </si>
  <si>
    <t xml:space="preserve">SENIOR INTERNAL AUDITOR </t>
  </si>
  <si>
    <t>IJEOMA EWELUKWA</t>
  </si>
  <si>
    <t xml:space="preserve">PRINCIPAL AUDIT OFFICER </t>
  </si>
  <si>
    <t>12(8)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</si>
  <si>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</si>
  <si>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</si>
  <si>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</si>
  <si>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</si>
  <si>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</si>
  <si>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</si>
  <si>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</si>
  <si>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AG. DIRECTOR, AEEP</t>
  </si>
  <si>
    <t>17(8)</t>
  </si>
  <si>
    <t>OGUCHE SAMUEL</t>
  </si>
  <si>
    <t xml:space="preserve">SNR RESEARCH FELLOW </t>
  </si>
  <si>
    <t>IBRAHIM USMAN</t>
  </si>
  <si>
    <t>DR MOHAMMED O. AMALI</t>
  </si>
  <si>
    <t>YAHAYA SHAMSU</t>
  </si>
  <si>
    <t>CHIDEBE MATHEW NWANKWO</t>
  </si>
  <si>
    <t>UMAR MUSA PADAH</t>
  </si>
  <si>
    <t>PRINC. RESEARCH OFFICER</t>
  </si>
  <si>
    <t>BILKIS S. LAWAL-GAMBARI</t>
  </si>
  <si>
    <t>RESEARCH OFFICER</t>
  </si>
  <si>
    <t>10(10)</t>
  </si>
  <si>
    <t>UMOH USENOBONG EMMANUEL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</si>
  <si>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</si>
  <si>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</si>
  <si>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</si>
  <si>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</si>
  <si>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</si>
  <si>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</si>
  <si>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</si>
  <si>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</si>
  <si>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</si>
  <si>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</si>
  <si>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</si>
  <si>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</si>
  <si>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EJALONIBU GANIYU LAYI</t>
  </si>
  <si>
    <t>MARTINS SOLOMON UDOM</t>
  </si>
  <si>
    <t>RESEARCH FELLOW 11</t>
  </si>
  <si>
    <t>ISHAKA DELE</t>
  </si>
  <si>
    <t>UDEFUNA NNADOZIE PATRICK</t>
  </si>
  <si>
    <t>12(10)</t>
  </si>
  <si>
    <t>SHAFIU YAHYA MIKAIL</t>
  </si>
  <si>
    <t>HASSAN YERIMA</t>
  </si>
  <si>
    <t>HAUWA PATE SADIQ</t>
  </si>
  <si>
    <t>ASST CHIEF PROGRAMME OFFICER</t>
  </si>
  <si>
    <t>OBOT ETIMBUK EMMANUEL</t>
  </si>
  <si>
    <t>PRINCIPAL INFO. OFFICER</t>
  </si>
  <si>
    <t>KOLAPO Q. ABAYOMI</t>
  </si>
  <si>
    <t>SALIHU SHAMSUDEEN OPEYEMI</t>
  </si>
  <si>
    <t>PROGRAMME OFFICER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</si>
  <si>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</si>
  <si>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</si>
  <si>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</si>
  <si>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</si>
  <si>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</si>
  <si>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</si>
  <si>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</si>
  <si>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</si>
  <si>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</si>
  <si>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14(11)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</si>
  <si>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</si>
  <si>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</si>
  <si>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</si>
  <si>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</si>
  <si>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</si>
  <si>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</si>
  <si>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</si>
  <si>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</si>
  <si>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</si>
  <si>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</si>
  <si>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</si>
  <si>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</si>
  <si>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</si>
  <si>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</si>
  <si>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</si>
  <si>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</si>
  <si>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</si>
  <si>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16(8)</t>
  </si>
  <si>
    <t>OMOJU OLUWASOLA EMMANUEL</t>
  </si>
  <si>
    <t>IBE EZECHI CYRIACUS</t>
  </si>
  <si>
    <t>OSIKHEN LEO IGBANOI</t>
  </si>
  <si>
    <t>OKUNGBOWA OSARETIN GODSPOWER</t>
  </si>
  <si>
    <t>14(9)</t>
  </si>
  <si>
    <t>YUSUF IBRAHIM</t>
  </si>
  <si>
    <t>MUSTAPHA RAFIU AYOBANJI</t>
  </si>
  <si>
    <t>13(9)</t>
  </si>
  <si>
    <t>UDOKANG NSISONG BONIFACE</t>
  </si>
  <si>
    <t>MARYAM MUSA SADA</t>
  </si>
  <si>
    <t>ASSIT. RESEARCH OFFICER</t>
  </si>
  <si>
    <t>TAWAKALTU FOLASHADE SADIQ</t>
  </si>
  <si>
    <t>MURTALA ADAM MUHAMMAD</t>
  </si>
  <si>
    <t>CHARITY EZENWAJIOBI</t>
  </si>
  <si>
    <t>REASEARCH. ASST.</t>
  </si>
  <si>
    <t>8(11)</t>
  </si>
  <si>
    <t>TRAINING  &amp;  INT''L COOP</t>
  </si>
  <si>
    <t>AKINSANMI ADEJOKE OLUKEMI</t>
  </si>
  <si>
    <t>AG. DIR. TRAINING &amp; IC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</si>
  <si>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</si>
  <si>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</si>
  <si>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</si>
  <si>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</si>
  <si>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</si>
  <si>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</si>
  <si>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</si>
  <si>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>TASSNEEM IBRAHIM</t>
  </si>
  <si>
    <t>MAHMUD ABDULKADIR</t>
  </si>
  <si>
    <t>ASST. TRAINING OFFICER</t>
  </si>
  <si>
    <t>LIBRARY &amp;  DOCUMENTATION</t>
  </si>
  <si>
    <t xml:space="preserve"> MAIMUNA IZAH</t>
  </si>
  <si>
    <t>INSITUTE LIBRARIAN</t>
  </si>
  <si>
    <t>CATHERINE E. IKOKOH</t>
  </si>
  <si>
    <t>SNR RESEARCH FELLOW DOCU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</si>
  <si>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</si>
  <si>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</si>
  <si>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</si>
  <si>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</si>
  <si>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</si>
  <si>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</si>
  <si>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</si>
  <si>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8(14)</t>
  </si>
  <si>
    <t>TITILAYO DANIEL MARVELLOUS</t>
  </si>
  <si>
    <t>ENENCHE JEREMIAH AGADA</t>
  </si>
  <si>
    <t>BLESSING JIBRIN OJONE</t>
  </si>
  <si>
    <t>EBWEYI JOSHUA SHICHA</t>
  </si>
  <si>
    <t>DESMOND CHIBUEZE DOMENDU</t>
  </si>
  <si>
    <t>LEG, CTRE FOR SEC. ANALYSIS</t>
  </si>
  <si>
    <t>PROF HAKEEM O. ONAPAJO</t>
  </si>
  <si>
    <t>EGUATU U. ONYEJELEM</t>
  </si>
  <si>
    <t xml:space="preserve">PRINCIPAL M&amp;E OFFICER </t>
  </si>
  <si>
    <t>12(11)</t>
  </si>
  <si>
    <t>MUHAMMED AGYE OSOLAFIA</t>
  </si>
  <si>
    <t>UDOH ANIETIE JONAH</t>
  </si>
  <si>
    <t>ENYONGAMA SUNDAY THOMAS</t>
  </si>
  <si>
    <t>PAUL TERLUMUN BEMGBA</t>
  </si>
  <si>
    <t>CHIGOZIE SABINA NWAGU</t>
  </si>
  <si>
    <t>UDUAK MONDAY ETIAN</t>
  </si>
  <si>
    <t>ASSIST RESEARCH OFFICER</t>
  </si>
  <si>
    <t>DEMOCRACY RADIO 104.9</t>
  </si>
  <si>
    <t>SULYMAN JIMOH GOBIR</t>
  </si>
  <si>
    <t>PRODUCER/PRESENTER/REPORTER</t>
  </si>
  <si>
    <t>OLUFEMI E. OYEGOKE</t>
  </si>
  <si>
    <t>MARKETER</t>
  </si>
  <si>
    <t>ZAINAB BAKARI</t>
  </si>
  <si>
    <t>NEWS CASTER</t>
  </si>
  <si>
    <t>MUSTAPHA ADEKOLA MUSA</t>
  </si>
  <si>
    <t>ENGINEER</t>
  </si>
  <si>
    <t>8(7)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</si>
  <si>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</si>
  <si>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</si>
  <si>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</si>
  <si>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</si>
  <si>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</si>
  <si>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</si>
  <si>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</si>
  <si>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</si>
  <si>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</si>
  <si>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</si>
  <si>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</si>
  <si>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</si>
  <si>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</si>
  <si>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</si>
  <si>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</si>
  <si>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</si>
  <si>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</si>
  <si>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</si>
  <si>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</si>
  <si>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</si>
  <si>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</si>
  <si>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</si>
  <si>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12</t>
  </si>
  <si>
    <t>ADMIN &amp; HUMAN RESOURCE</t>
  </si>
  <si>
    <t>MOSHOOD M. OLALERE</t>
  </si>
  <si>
    <t>AG. DIR. ADMIN &amp; HR</t>
  </si>
  <si>
    <t>17 (8)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</si>
  <si>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</si>
  <si>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</si>
  <si>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</si>
  <si>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</si>
  <si>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</si>
  <si>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</si>
  <si>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</si>
  <si>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KHADIJAT A. LUKMAN-ONIMAGO</t>
  </si>
  <si>
    <t>CHIEF ADMIN OFFICER</t>
  </si>
  <si>
    <t>OGUNYOMI ROTIMI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</si>
  <si>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</si>
  <si>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</si>
  <si>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</si>
  <si>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</si>
  <si>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</si>
  <si>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</si>
  <si>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</si>
  <si>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</si>
  <si>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</si>
  <si>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</si>
  <si>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</si>
  <si>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</si>
  <si>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</si>
  <si>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</si>
  <si>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</si>
  <si>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</si>
  <si>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</si>
  <si>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 xml:space="preserve">PRINC. CONF SECRETARY 11 </t>
  </si>
  <si>
    <t>GIDEON B. LAMIDO</t>
  </si>
  <si>
    <t>SENIOR RANSPORT  OFFICER</t>
  </si>
  <si>
    <t>IWODI ENE JUDITH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</si>
  <si>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</si>
  <si>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</si>
  <si>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</si>
  <si>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</si>
  <si>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</si>
  <si>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</si>
  <si>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</si>
  <si>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</si>
  <si>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</si>
  <si>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9(7)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</si>
  <si>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</si>
  <si>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</si>
  <si>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</si>
  <si>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</si>
  <si>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</si>
  <si>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</si>
  <si>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</si>
  <si>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ETTI  HAWANAT OYENIKE</t>
  </si>
  <si>
    <t>KATMAN EMMANUEL</t>
  </si>
  <si>
    <t>CONFIDENTIAL SECRETARY 1</t>
  </si>
  <si>
    <t>USMAN MOHAMMED GIDADO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</si>
  <si>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</si>
  <si>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</si>
  <si>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</si>
  <si>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</si>
  <si>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</si>
  <si>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</si>
  <si>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CHIEF DRIVER</t>
  </si>
  <si>
    <t>7(10)</t>
  </si>
  <si>
    <t>TASIU MOHAMMED</t>
  </si>
  <si>
    <t>ALIYU YAKUBU</t>
  </si>
  <si>
    <t>ABDULLAHI HARUNA</t>
  </si>
  <si>
    <t>OGABO OGAH USMAN</t>
  </si>
  <si>
    <t>7(9)</t>
  </si>
  <si>
    <t>ETSU UMARU</t>
  </si>
  <si>
    <t>EDACHE  OGA</t>
  </si>
  <si>
    <t>YUGUDA S. IDRIS</t>
  </si>
  <si>
    <t>GARBA ADAMU</t>
  </si>
  <si>
    <t>YUNUSA ABDULMUMINI ELEOJO</t>
  </si>
  <si>
    <t>CHIEF MOTOR DRIVER MECH.</t>
  </si>
  <si>
    <t>7(7)</t>
  </si>
  <si>
    <t>JOHN GIMAH</t>
  </si>
  <si>
    <t>ABUBAKAR MUSA DANLAMI</t>
  </si>
  <si>
    <t>7(8)</t>
  </si>
  <si>
    <t>OYINLOLA ISMAHEEL TAIWO</t>
  </si>
  <si>
    <t>CHIEF MOTOR DRIVER</t>
  </si>
  <si>
    <t>7(5)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</si>
  <si>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</si>
  <si>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</si>
  <si>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</si>
  <si>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</si>
  <si>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</si>
  <si>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</si>
  <si>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7(6)</t>
  </si>
  <si>
    <t>SUNDAY ADEYI</t>
  </si>
  <si>
    <t>DRIVER</t>
  </si>
  <si>
    <t>5(12)</t>
  </si>
  <si>
    <t>ZHOKWO PETER</t>
  </si>
  <si>
    <t>SENIOR DRIVER</t>
  </si>
  <si>
    <t>JOSEPH GWATANA</t>
  </si>
  <si>
    <t>SENIOR MOTOR DRIVER MECH.</t>
  </si>
  <si>
    <t>5(9)</t>
  </si>
  <si>
    <t>LAWAL TANIMU</t>
  </si>
  <si>
    <t>5(8)</t>
  </si>
  <si>
    <t>MUKTAR IDRIS</t>
  </si>
  <si>
    <t>5(7)</t>
  </si>
  <si>
    <t>SAHEED AYINLA AJIA</t>
  </si>
  <si>
    <t>MOTOR DRIVER MECHANIC</t>
  </si>
  <si>
    <t>4(10)</t>
  </si>
  <si>
    <t>ABUBAKAR YAHAYA</t>
  </si>
  <si>
    <t>SULEIMAN USMAN</t>
  </si>
  <si>
    <t>ABDULLAHI HUSSAINI</t>
  </si>
  <si>
    <t>SENIOR MOTOR DRIVER</t>
  </si>
  <si>
    <t>5(10)</t>
  </si>
  <si>
    <t>SALIHU ABASS</t>
  </si>
  <si>
    <t>66</t>
  </si>
  <si>
    <t>GRAND TOTAL</t>
  </si>
  <si>
    <t>PREPARED BY:  Rahila N. Habu                                        SIGNATURE………………..                                  DATE:  26th Jan., 2026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</si>
  <si>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</si>
  <si>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</si>
  <si>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</si>
  <si>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</si>
  <si>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</si>
  <si>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</si>
  <si>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</si>
  <si>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</si>
  <si>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</si>
  <si>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</si>
  <si>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</si>
  <si>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</si>
  <si>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</si>
  <si>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</si>
  <si>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JANUARY 2026</t>
  </si>
  <si>
    <t>SUBJECT: PAYROLL FOR THE MONTH OF JANUARY 2026</t>
  </si>
  <si>
    <t>Find below the details of NILDS Staff Payroll for the Month of  January 2026:</t>
  </si>
  <si>
    <t>NGN</t>
  </si>
  <si>
    <t>GROSS SALARY FOR JANUARY 2026</t>
  </si>
  <si>
    <t>DEDUCTIONS</t>
  </si>
  <si>
    <t>COOP SOCIETY 1 DEDUCTIONS ( CONTR.&amp; SPEC. SAVINGS)</t>
  </si>
  <si>
    <t>COOP SOCIETY 2 DEDUCTIONS ( CONTR.&amp; SPEC. SAVINGS)</t>
  </si>
  <si>
    <t>NHF DEDUCTIONS</t>
  </si>
  <si>
    <t>PAYE DEDUCTIONS</t>
  </si>
  <si>
    <t>PENSION DEDUCTIONS</t>
  </si>
  <si>
    <t>TOTAL DEDUCTIONS FOR JANUARY 2026</t>
  </si>
  <si>
    <t>NET PAY AS PER  JANUARY 2026 PAYROLL</t>
  </si>
  <si>
    <t>NET PAY AS PER DECEMBER 2025 PAYROLL</t>
  </si>
  <si>
    <t>NET INCREASE/ (DECREASE)  IN PAY FOR JANUARY 2026</t>
  </si>
  <si>
    <t>ANALYSED AS FOLLOWS:</t>
  </si>
  <si>
    <t>Effect of Cooperative 1 Adjustments for January 2026</t>
  </si>
  <si>
    <t>Effect of Cooperative 2 Adjustments for January 2026</t>
  </si>
  <si>
    <t>Effect of Annual Steps increase within Grade Levels</t>
  </si>
  <si>
    <t>Effect of Changes in Pensions due to changes in steps</t>
  </si>
  <si>
    <t>Effect of Changes in NHF due to changes in steps</t>
  </si>
  <si>
    <t>Effect of Changes in PAYE Tax due to the Implementation of New Tax Laws</t>
  </si>
  <si>
    <t>Effect of the Stoppage of payment to Muhammed Osolafia due to voluntary retirement</t>
  </si>
  <si>
    <t>Effect of regularisation of deductions of Bakari Husseini &amp; 1 other</t>
  </si>
  <si>
    <t xml:space="preserve">Effect of removal of arrears of change of cadre from Ene Vincent-Orugbo 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</si>
  <si>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</si>
  <si>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</si>
  <si>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</si>
  <si>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</si>
  <si>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</si>
  <si>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</si>
  <si>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</si>
  <si>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</si>
  <si>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</si>
  <si>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</si>
  <si>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</si>
  <si>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</si>
  <si>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</si>
  <si>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</si>
  <si>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the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74,388,110.10, </t>
    </r>
    <r>
      <rPr>
        <sz val="14"/>
        <rFont val="Times New Roman"/>
        <charset val="134"/>
      </rPr>
      <t xml:space="preserve">to Guaranty Trust Bank,  being the  January 2026 Net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18,322,100.38, </t>
    </r>
    <r>
      <rPr>
        <sz val="14"/>
        <rFont val="Times New Roman"/>
        <charset val="134"/>
      </rPr>
      <t>and</t>
    </r>
    <r>
      <rPr>
        <b/>
        <sz val="14"/>
        <rFont val="Times New Roman"/>
        <charset val="134"/>
      </rPr>
      <t xml:space="preserve"> N2,975,000 </t>
    </r>
    <r>
      <rPr>
        <sz val="14"/>
        <rFont val="Times New Roman"/>
        <charset val="134"/>
      </rPr>
      <t>being NILDS Coop Society 1 and Coop Society 2 deductions for January 2026.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17,007,533.92 </t>
    </r>
    <r>
      <rPr>
        <sz val="14"/>
        <rFont val="Times New Roman"/>
        <charset val="134"/>
      </rPr>
      <t xml:space="preserve">PAYE Tax Deductions from Staff Salary for the month  of January 2026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677,813.77 </t>
    </r>
    <r>
      <rPr>
        <sz val="14"/>
        <rFont val="Times New Roman"/>
        <charset val="134"/>
      </rPr>
      <t xml:space="preserve"> being NHF deductions from staff for January 2026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</si>
  <si>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</si>
  <si>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</si>
  <si>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ASSEMBLY ABUJA</t>
  </si>
  <si>
    <t>TAX COMPUTATION FOR 2022</t>
  </si>
  <si>
    <t>S/NO</t>
  </si>
  <si>
    <t>NAME</t>
  </si>
  <si>
    <t>NO OF MONTHS</t>
  </si>
  <si>
    <t>ANNUAL SALARY GROSSED UP</t>
  </si>
  <si>
    <t>ANNUAL RENT RELIEF (20% MAX OF N500,000)</t>
  </si>
  <si>
    <t>NATIONAL HOUSING SCHEME = 2.5% OF BASIC SALARY</t>
  </si>
  <si>
    <t>PENSION CONTRIBUTION = 8% OF CONSOLIDATED</t>
  </si>
  <si>
    <t>NHIS</t>
  </si>
  <si>
    <t>TOTAL RELIEF</t>
  </si>
  <si>
    <t>CHARGEABLE INCOME</t>
  </si>
  <si>
    <t>ANNUAL TAX PAYABLE</t>
  </si>
  <si>
    <t>MONTHLY TAX PAYABLE</t>
  </si>
  <si>
    <t>OLD ACTUAL TAX PAYABLE</t>
  </si>
  <si>
    <t>INCREASE/DECREASE IN PAYE</t>
  </si>
  <si>
    <t>ELIZABETH OGECHUKWU ONYEAKU</t>
  </si>
  <si>
    <t>AISHA AMINU SAMBO</t>
  </si>
  <si>
    <t>OLD GRADE LEVEL</t>
  </si>
  <si>
    <t>OLD BASIC SALARY</t>
  </si>
  <si>
    <t>NEW GRADE LEVEL</t>
  </si>
  <si>
    <t>NEW BASIC SALARY</t>
  </si>
  <si>
    <t>CHANGE IN STEPS (GROSS)</t>
  </si>
  <si>
    <t>OLD EMPLOYEE PENSIONS</t>
  </si>
  <si>
    <t>NEW EMPLOYEE PENSIONS</t>
  </si>
  <si>
    <t>CHANGES IN PENSIONS</t>
  </si>
  <si>
    <t>NEW ANNUAL PENSIONS</t>
  </si>
  <si>
    <t>NEW BASIC</t>
  </si>
  <si>
    <t>NHF 2.5%</t>
  </si>
  <si>
    <t>OLD NHF DED.</t>
  </si>
  <si>
    <t>INCREASE IN NHF</t>
  </si>
  <si>
    <t>NHF ANNUAL</t>
  </si>
  <si>
    <t>14(7)</t>
  </si>
  <si>
    <t>13(10)</t>
  </si>
  <si>
    <t>13 (8)</t>
  </si>
  <si>
    <t>12(7)</t>
  </si>
  <si>
    <t>17(7)</t>
  </si>
  <si>
    <t>16(7)</t>
  </si>
  <si>
    <t>8(13)</t>
  </si>
  <si>
    <t>17 (7)</t>
  </si>
  <si>
    <t>ASSIST ADMIN OFFICER, GIU</t>
  </si>
  <si>
    <t>7(4)</t>
  </si>
  <si>
    <t>7(3)</t>
  </si>
  <si>
    <t>5(11)</t>
  </si>
  <si>
    <t>4(9)</t>
  </si>
  <si>
    <t>67</t>
  </si>
  <si>
    <t>STAFF PAYROLL FOR THE MONTH OF JANUARY, 2026</t>
  </si>
  <si>
    <t>OLD CUM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</si>
  <si>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</si>
  <si>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</si>
  <si>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</si>
  <si>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</si>
  <si>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</si>
  <si>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</si>
  <si>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</si>
  <si>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</si>
  <si>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</si>
  <si>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</si>
  <si>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</si>
  <si>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</si>
  <si>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</si>
  <si>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</si>
  <si>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</si>
  <si>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</si>
  <si>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</si>
  <si>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</si>
  <si>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</si>
  <si>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</si>
  <si>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</si>
  <si>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</si>
  <si>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</si>
  <si>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</si>
  <si>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</si>
  <si>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</si>
  <si>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</si>
  <si>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</si>
  <si>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</si>
  <si>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</si>
  <si>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CHIEF ICT OFFICER</t>
  </si>
  <si>
    <t>13 (10)</t>
  </si>
  <si>
    <t>PRINC.CONF SEC/PPS</t>
  </si>
  <si>
    <t>ASST. OFFICER/COMM</t>
  </si>
  <si>
    <t xml:space="preserve">PROTOCOL ASSISTANT </t>
  </si>
  <si>
    <t>DEPUTY DIRECTOR, LEGAL RESEARCH</t>
  </si>
  <si>
    <t>PRINCIPAL PROGRAMME OFFICER</t>
  </si>
  <si>
    <t>Ag. DIR. TRAINING &amp; IC</t>
  </si>
  <si>
    <t xml:space="preserve">PRINCIPALTRAINING OFFICER </t>
  </si>
  <si>
    <t>DR MAIMUNA IZAH</t>
  </si>
  <si>
    <t>RESEARCH FELLOW 11 DATA &amp; DOCU</t>
  </si>
  <si>
    <t>DEP. DIRECTOR, ACCOUNTS</t>
  </si>
  <si>
    <t>ASST. DIRECTOR, ACCOUNTS</t>
  </si>
  <si>
    <t>ASST. CHIEF BUDGET OFFICER</t>
  </si>
  <si>
    <t>ACCOUNT. OFFICER</t>
  </si>
  <si>
    <t>10</t>
  </si>
  <si>
    <t>ASSIST.CHIEF CONF. SECRETARY</t>
  </si>
  <si>
    <t>PRINC.LIAISON OFFICER</t>
  </si>
  <si>
    <t>SNR CONFIDENTIAL SECRETARY</t>
  </si>
  <si>
    <t>TRANSPORT OFFICER</t>
  </si>
  <si>
    <t>SENIOR CONFIDENTIAL SECRETARY</t>
  </si>
  <si>
    <t>ADMIN. ASSISTANT DLSS</t>
  </si>
  <si>
    <t>DISPATCH OFFICER</t>
  </si>
  <si>
    <t>NAMADI IDRIS UMAR</t>
  </si>
  <si>
    <t>5 (11)</t>
  </si>
  <si>
    <t>JONATHAN GABRIEL</t>
  </si>
  <si>
    <t>5 (10)</t>
  </si>
  <si>
    <t>60</t>
  </si>
  <si>
    <t xml:space="preserve"> TOTAL FOR OLD STAFF</t>
  </si>
  <si>
    <t>TOTAL FOR NEW STAFF</t>
  </si>
  <si>
    <t xml:space="preserve"> GRAND TOTAL </t>
  </si>
  <si>
    <t>NATIONAL INSTITUTE FOR LEGISLATIVE &amp; DEMOCRATIC STUDIES</t>
  </si>
  <si>
    <t xml:space="preserve">2025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</si>
  <si>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</si>
  <si>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</si>
  <si>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</si>
  <si>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</si>
  <si>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</si>
  <si>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</si>
  <si>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</si>
  <si>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</si>
  <si>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Effective Date</t>
  </si>
  <si>
    <t>No of Months</t>
  </si>
  <si>
    <t>Total Amount of Arrears (Gross)</t>
  </si>
  <si>
    <t>Victor Etim Asukwo</t>
  </si>
  <si>
    <t>DG's Office</t>
  </si>
  <si>
    <t xml:space="preserve"> 9/10</t>
  </si>
  <si>
    <t xml:space="preserve"> 10/7</t>
  </si>
  <si>
    <t>6th August 2025</t>
  </si>
  <si>
    <t>STAFF CHRISTMAS WELFARE DECEMBER 2025</t>
  </si>
  <si>
    <t>AMOUNT</t>
  </si>
  <si>
    <t>SUMMARY OF 2025 CHRISTMAS WELFARE</t>
  </si>
  <si>
    <t>Permanent Staff</t>
  </si>
  <si>
    <t>Contract Staff</t>
  </si>
  <si>
    <t>Casual, Sabbatical &amp; NYSC</t>
  </si>
  <si>
    <t>Consultants/Freelance</t>
  </si>
  <si>
    <t>Cleaners &amp; Security Personnel</t>
  </si>
  <si>
    <t>Total</t>
  </si>
  <si>
    <t>STAFF PAYROLL FOR THE MONTH OF JUNE, 2025</t>
  </si>
  <si>
    <t>MONTHLY TOTAL SALARY</t>
  </si>
  <si>
    <t>NET SALARY (EXC OF CRA)</t>
  </si>
  <si>
    <t>CRA=#200,000+(20% 0F NET SALARY (EXC OF CRA)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</si>
  <si>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</si>
  <si>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</si>
  <si>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</si>
  <si>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</si>
  <si>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</si>
  <si>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</si>
  <si>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MINIMUM TAX PAYABLE</t>
  </si>
  <si>
    <t>NEW ACTUAL TAX PAYABLE</t>
  </si>
  <si>
    <t>INCREASE IN PAYE</t>
  </si>
  <si>
    <t>DEMOCRACY RADIO</t>
  </si>
  <si>
    <t>Mr Abdullahi Mohammed Ali</t>
  </si>
  <si>
    <t>DG Office</t>
  </si>
  <si>
    <t>14/11</t>
  </si>
  <si>
    <t>15/7</t>
  </si>
  <si>
    <t>17th September 2025</t>
  </si>
  <si>
    <t>Mr Shehu Abdullahi</t>
  </si>
  <si>
    <t>Account &amp; Finance</t>
  </si>
  <si>
    <t>Dr. Percy Terfa Gbahabo</t>
  </si>
  <si>
    <t>13/11</t>
  </si>
  <si>
    <t>14/7</t>
  </si>
  <si>
    <t>13th July 2025</t>
  </si>
  <si>
    <t>Mr Richard Terseer Adugba</t>
  </si>
  <si>
    <t>DG Unit Information</t>
  </si>
  <si>
    <t xml:space="preserve"> 12/10</t>
  </si>
  <si>
    <t>13/7</t>
  </si>
  <si>
    <t>Mrs. Okechukwu Uchenna Hulda</t>
  </si>
  <si>
    <t>Training</t>
  </si>
  <si>
    <t>9th July 2025</t>
  </si>
  <si>
    <t>Ms Juwairat Abdulsalam</t>
  </si>
  <si>
    <t>Admin/ HR Liaison Office</t>
  </si>
  <si>
    <t>Nsongurua Daniel Edoho</t>
  </si>
  <si>
    <t>DG Unit</t>
  </si>
  <si>
    <t xml:space="preserve"> 12/11</t>
  </si>
  <si>
    <t>13/8</t>
  </si>
  <si>
    <t>Mrs Hauwa Pate Sadiq</t>
  </si>
  <si>
    <t>DOS</t>
  </si>
  <si>
    <t>9th August 2025</t>
  </si>
  <si>
    <t>Naziru Rabiu Ibrahim</t>
  </si>
  <si>
    <t xml:space="preserve">DG Unit </t>
  </si>
  <si>
    <t xml:space="preserve"> 10/10</t>
  </si>
  <si>
    <t xml:space="preserve"> 12/7</t>
  </si>
  <si>
    <t>1st July 2025</t>
  </si>
  <si>
    <t>Ms. Ijeoma Ewelukwa</t>
  </si>
  <si>
    <t>Audit</t>
  </si>
  <si>
    <t xml:space="preserve"> 10/9</t>
  </si>
  <si>
    <t>30th June 2025</t>
  </si>
  <si>
    <t>Mrs Ene Vincent Orugbo</t>
  </si>
  <si>
    <t>LECESA</t>
  </si>
  <si>
    <t>3rd September 2025</t>
  </si>
  <si>
    <t>Mr Muhammed Bello</t>
  </si>
  <si>
    <t xml:space="preserve"> 9/8</t>
  </si>
  <si>
    <t>14th August 2025</t>
  </si>
  <si>
    <t>Mr Hazeem Hussain</t>
  </si>
  <si>
    <t>28th July 2025</t>
  </si>
  <si>
    <t>Ms. Saratu Gwalem Hamalai</t>
  </si>
  <si>
    <t>DESR</t>
  </si>
  <si>
    <t>Mr Gideon Lamido</t>
  </si>
  <si>
    <t>Admin &amp; HR</t>
  </si>
  <si>
    <t>3rd July 2025</t>
  </si>
  <si>
    <t>Mr. Livinus Ature Nandi</t>
  </si>
  <si>
    <t>D&amp;G</t>
  </si>
  <si>
    <t>15th February 2025</t>
  </si>
  <si>
    <t>Mr Abubakar Sodeeq Sulaiman</t>
  </si>
  <si>
    <t>DG Unit M&amp;E</t>
  </si>
  <si>
    <t>Mr. Jimoh Adebayo Zaka</t>
  </si>
  <si>
    <t>DG. Info Unit</t>
  </si>
  <si>
    <t>Mr Lucky Agwom Tongs</t>
  </si>
  <si>
    <t xml:space="preserve"> 12/8</t>
  </si>
  <si>
    <t xml:space="preserve"> 9/7</t>
  </si>
  <si>
    <t>Mr Ayuba Sule</t>
  </si>
  <si>
    <t xml:space="preserve"> 8/10</t>
  </si>
  <si>
    <t>Mr Yusuf Abdullahi</t>
  </si>
  <si>
    <t xml:space="preserve"> 5/11</t>
  </si>
  <si>
    <t xml:space="preserve">  7/3</t>
  </si>
  <si>
    <t>27th November 2024</t>
  </si>
  <si>
    <t>Mr Zakari Ibrahim Ahmed</t>
  </si>
  <si>
    <t>DG Office Legal</t>
  </si>
  <si>
    <t>Mr Nasara Myles Shedrack</t>
  </si>
  <si>
    <t>Mr Samson Samjo Daramola</t>
  </si>
  <si>
    <t>Mr Abubakar Aminu Dole</t>
  </si>
  <si>
    <t>Mr Aliyu Ibrahim</t>
  </si>
  <si>
    <t>DLSS</t>
  </si>
  <si>
    <t xml:space="preserve">SCHEDULE OF CONVERSION FROM CONTRACT TO PERMANENT STAFF </t>
  </si>
  <si>
    <t>Dept</t>
  </si>
  <si>
    <t>GRADE</t>
  </si>
  <si>
    <t>CONLSS</t>
  </si>
  <si>
    <t>PERC. ALLOW</t>
  </si>
  <si>
    <t>TOTAL BASIC</t>
  </si>
  <si>
    <t>RESEARCH/SHIFT ALLOW</t>
  </si>
  <si>
    <t>HARDSHIP ALLOW</t>
  </si>
  <si>
    <t>EMPLOYEE PENSIONS MONTHLY</t>
  </si>
  <si>
    <t>EMPLOYEE PENSIONS ANNUAL</t>
  </si>
  <si>
    <t>NET SALARY</t>
  </si>
  <si>
    <t>Mrs Evelyn Etonke Agan</t>
  </si>
  <si>
    <t>Assistant Director</t>
  </si>
  <si>
    <t>Level 15/7</t>
  </si>
  <si>
    <t>Dr Chidebe Mathew Nwankwo</t>
  </si>
  <si>
    <t>Senior Research Officer</t>
  </si>
  <si>
    <t>Prof Hakim Olakunle Onapajo</t>
  </si>
  <si>
    <t>Lecesa</t>
  </si>
  <si>
    <t>Mrs. Khadijat Ayodeji Lukman-Onimago</t>
  </si>
  <si>
    <t>DG Unit GIU</t>
  </si>
  <si>
    <t>Chief Adminstrative Officer</t>
  </si>
  <si>
    <t>Level 14/7</t>
  </si>
  <si>
    <t>Dr. Amaka Ijeoma Alumona</t>
  </si>
  <si>
    <t>Library</t>
  </si>
  <si>
    <t>Principal Officer</t>
  </si>
  <si>
    <t>Level 12/7</t>
  </si>
  <si>
    <t>Mr Mahmud Adewole Hassan</t>
  </si>
  <si>
    <t>ICT Unit</t>
  </si>
  <si>
    <t>Assistant ICT Officer</t>
  </si>
  <si>
    <t>Level 8/7</t>
  </si>
  <si>
    <t>Mr Musa Al-Kasim Adamu</t>
  </si>
  <si>
    <t>Programme Officer</t>
  </si>
  <si>
    <t>Level 9/7</t>
  </si>
  <si>
    <t>Ms. Blessing Jibrin Ojone</t>
  </si>
  <si>
    <t>Library Assistant</t>
  </si>
  <si>
    <t>Ms. Ebweyi Joshua Shicha</t>
  </si>
  <si>
    <t>Mr Yusuf Kabiru Turaki</t>
  </si>
  <si>
    <t>Mr Desmond Chibueze Domendu</t>
  </si>
  <si>
    <t>Mr Muniru Jibrin</t>
  </si>
  <si>
    <t>Senior Programmes Officer</t>
  </si>
  <si>
    <t>Level 10/7</t>
  </si>
  <si>
    <t>Mr Mahmud Abdulkadir</t>
  </si>
  <si>
    <t>Training Officer</t>
  </si>
  <si>
    <t>Mr Sulyman Jimoh Gobir</t>
  </si>
  <si>
    <t>Democracy Radio</t>
  </si>
  <si>
    <t>Producer/Presenter/Reporter</t>
  </si>
  <si>
    <t>Mr Tawakalitu Folashade Sadiq</t>
  </si>
  <si>
    <t>Research Officer</t>
  </si>
  <si>
    <t>Mr. Murtala Adam Muhammad</t>
  </si>
  <si>
    <t>Mrs Kehinde Hassanat Ganiyu</t>
  </si>
  <si>
    <t>Administrative Assistant</t>
  </si>
  <si>
    <t>Mr Paul Terlumun Bemgba</t>
  </si>
  <si>
    <t>Ms. Chigozie Sabina Nwagu</t>
  </si>
  <si>
    <t>Mrs Wabuji Helen Adi</t>
  </si>
  <si>
    <t>DD &amp; G</t>
  </si>
  <si>
    <t>Administrative Officer</t>
  </si>
  <si>
    <t>Mr Soliu Shamshudeen Opeyemi</t>
  </si>
  <si>
    <t>Ms. Fatima Omar Ibrahim</t>
  </si>
  <si>
    <t>Assistant Protocol Officer</t>
  </si>
  <si>
    <t>Mr Mustapha Adekola Musa</t>
  </si>
  <si>
    <t>Engineer</t>
  </si>
  <si>
    <t>Ms. Ebere Anasthasia Igwe</t>
  </si>
  <si>
    <t>ICT Officer</t>
  </si>
  <si>
    <t>STAFF PAYROLL FOR THE MONTH OF OCTOBER 2025</t>
  </si>
  <si>
    <t>CONTRACT STAFF (NEW STAFF)</t>
  </si>
  <si>
    <t>SALARY</t>
  </si>
  <si>
    <t>RESEARCH/HARDSHIP</t>
  </si>
  <si>
    <t>ARREARS</t>
  </si>
  <si>
    <t xml:space="preserve">OCTOBER 2025 NET SALARY </t>
  </si>
  <si>
    <t>COOP 1 CONTR/SPEC. SAVINGS</t>
  </si>
  <si>
    <t>COOP 1 LOAN REC.</t>
  </si>
  <si>
    <t>COOP 2 CONTR/SPEC. SAVINGS</t>
  </si>
  <si>
    <t>PAYE TAX</t>
  </si>
  <si>
    <t>Musa Mustapha Adekola</t>
  </si>
  <si>
    <t>Hassan Mahmud Adewole</t>
  </si>
  <si>
    <t>Muniru Jibrin</t>
  </si>
  <si>
    <t xml:space="preserve">Contract Staff </t>
  </si>
  <si>
    <t>Fatima Ibrahim Omar</t>
  </si>
  <si>
    <t>Mahmud Abdulkadir</t>
  </si>
  <si>
    <t>Yusuf Kabir Turaki</t>
  </si>
  <si>
    <t>Adi Helen Wabuji</t>
  </si>
  <si>
    <t>Igwe Eberechukwu</t>
  </si>
  <si>
    <t>Ganiyu Kehinde Hassanat</t>
  </si>
  <si>
    <t>Mohammed A. Abdulkadir</t>
  </si>
  <si>
    <t>Soliu Shamshudeen Opeyemi</t>
  </si>
  <si>
    <t>Agan Evelyn Etonke</t>
  </si>
  <si>
    <t>Musa Adamu Alkasim</t>
  </si>
  <si>
    <t>Contract Staff(Arrears)</t>
  </si>
  <si>
    <t>Lukman-Onimago Khadijat</t>
  </si>
  <si>
    <t>Bemgba Paul Terlumum</t>
  </si>
  <si>
    <t>Sidiq Tawakalitu Folashade</t>
  </si>
  <si>
    <t>Nwagu Sabina Chigozie</t>
  </si>
  <si>
    <t>Murtala Adam Muhammad</t>
  </si>
  <si>
    <t>Prof Hakeem Onapajo</t>
  </si>
  <si>
    <t>Jimoh Gobir Suleyman</t>
  </si>
  <si>
    <t>Chidebe Mathew Nwankwo</t>
  </si>
  <si>
    <t>Otene Oche Jonah</t>
  </si>
  <si>
    <t>Adenekan Sofiat Adepeju</t>
  </si>
  <si>
    <t>Al-Kadriyar Abdullahi Abdullahi</t>
  </si>
  <si>
    <t>Ufomba Patricia Osinachi</t>
  </si>
  <si>
    <t>Oluwakemi Mora Kindness</t>
  </si>
  <si>
    <t>Idris Danladi Daniel</t>
  </si>
  <si>
    <t>Faith Onyebujoh</t>
  </si>
  <si>
    <t>Chinedu Echianu</t>
  </si>
  <si>
    <t>Anayo Akwitti</t>
  </si>
  <si>
    <t>Julian Chinyere Osamoto</t>
  </si>
  <si>
    <t>Olowokere Ridwanullah Olamilekan</t>
  </si>
  <si>
    <t>Ibrahim Nurudeen Sola</t>
  </si>
  <si>
    <t>Benjamin Ubri</t>
  </si>
  <si>
    <t>Victoria Stpanie David</t>
  </si>
  <si>
    <t>Contract Staff (arrears)</t>
  </si>
  <si>
    <t>Hassan Salihu</t>
  </si>
  <si>
    <t>Liatu Mohammed</t>
  </si>
  <si>
    <t>Titus Bulus</t>
  </si>
  <si>
    <t>Contract Staff (prorated)</t>
  </si>
  <si>
    <t>ARREARS OF JUNE &amp; JULY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</si>
  <si>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</si>
  <si>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</si>
  <si>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</si>
  <si>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</si>
  <si>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</si>
  <si>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</si>
  <si>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</si>
  <si>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COOP. LOAN RECOVERY</t>
  </si>
  <si>
    <t>JULY, 2025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</si>
  <si>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</si>
  <si>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</si>
  <si>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</si>
  <si>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</si>
  <si>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</si>
  <si>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</si>
  <si>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</si>
  <si>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</si>
  <si>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</si>
  <si>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</si>
  <si>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11</t>
  </si>
  <si>
    <t>64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</si>
  <si>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</si>
  <si>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</si>
  <si>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</si>
  <si>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</si>
  <si>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</si>
  <si>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</si>
  <si>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</si>
  <si>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</si>
  <si>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</si>
  <si>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</si>
  <si>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</si>
  <si>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</si>
  <si>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</si>
  <si>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</si>
  <si>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</si>
  <si>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</si>
  <si>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</si>
  <si>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</si>
  <si>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</si>
  <si>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</si>
  <si>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</si>
  <si>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</si>
  <si>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</si>
  <si>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</si>
  <si>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</si>
  <si>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</si>
  <si>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</si>
  <si>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</si>
  <si>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</si>
  <si>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</si>
  <si>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</si>
  <si>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</si>
  <si>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</si>
  <si>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PRINCIPAL PERSONNEL OFFICER</t>
  </si>
  <si>
    <t>PRINCIPAL CONF. SECRETARY</t>
  </si>
  <si>
    <t>PRINC.CONFIDENTIAL SECRETARY II</t>
  </si>
  <si>
    <t>SENIOR CONFIDENTIAL SECR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</si>
  <si>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</si>
  <si>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</si>
  <si>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</si>
  <si>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</si>
  <si>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</si>
  <si>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</si>
  <si>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</si>
  <si>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</si>
  <si>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</si>
  <si>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</si>
  <si>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</si>
  <si>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</si>
  <si>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</si>
  <si>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</si>
  <si>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</si>
  <si>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</si>
  <si>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</si>
  <si>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</si>
  <si>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</si>
  <si>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</si>
  <si>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</si>
  <si>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</si>
  <si>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</si>
  <si>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</si>
  <si>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</si>
  <si>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</si>
  <si>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</si>
  <si>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</si>
  <si>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</si>
  <si>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</si>
  <si>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</si>
  <si>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</si>
  <si>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</si>
  <si>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</si>
  <si>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</si>
  <si>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</si>
  <si>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</si>
  <si>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</si>
  <si>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</si>
  <si>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</si>
  <si>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</si>
  <si>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</si>
  <si>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</si>
  <si>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</si>
  <si>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</si>
  <si>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</si>
  <si>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</si>
  <si>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</si>
  <si>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</si>
  <si>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</si>
  <si>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</si>
  <si>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</si>
  <si>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</si>
  <si>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</si>
  <si>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</si>
  <si>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</si>
  <si>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</si>
  <si>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</si>
  <si>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</si>
  <si>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</si>
  <si>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</si>
  <si>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</si>
  <si>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</si>
  <si>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</si>
  <si>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</si>
  <si>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</si>
  <si>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</si>
  <si>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</si>
  <si>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</si>
  <si>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SUMMARY OF SALLAH WELFARE</t>
  </si>
  <si>
    <t>New Permanent Staff</t>
  </si>
  <si>
    <t>New Contract Staff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</si>
  <si>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</si>
  <si>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</si>
  <si>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</si>
  <si>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</si>
  <si>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</si>
  <si>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</si>
  <si>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</si>
  <si>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</si>
  <si>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</si>
  <si>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</si>
  <si>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</si>
  <si>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</si>
  <si>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 xml:space="preserve">2024 ANALYSIS OF STAFF PROMOTION ARREARS 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</si>
  <si>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</si>
  <si>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</si>
  <si>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</si>
  <si>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</si>
  <si>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</si>
  <si>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</si>
  <si>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</si>
  <si>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</si>
  <si>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</si>
  <si>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</si>
  <si>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</si>
  <si>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</si>
  <si>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LSS</t>
  </si>
  <si>
    <t>Dem. &amp; Gov.</t>
  </si>
  <si>
    <t>13/10</t>
  </si>
  <si>
    <t>14/8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</si>
  <si>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</si>
  <si>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</si>
  <si>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</si>
  <si>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</si>
  <si>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</si>
  <si>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</si>
  <si>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</si>
  <si>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</si>
  <si>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</si>
  <si>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</si>
  <si>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</si>
  <si>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</si>
  <si>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</si>
  <si>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</si>
  <si>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</si>
  <si>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</si>
  <si>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</si>
  <si>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</si>
  <si>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</si>
  <si>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</si>
  <si>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</si>
  <si>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</si>
  <si>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</si>
  <si>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</si>
  <si>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</si>
  <si>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</si>
  <si>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</si>
  <si>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</si>
  <si>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</si>
  <si>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</si>
  <si>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</si>
  <si>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</si>
  <si>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</si>
  <si>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</si>
  <si>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</si>
  <si>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</si>
  <si>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</si>
  <si>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</si>
  <si>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</si>
  <si>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</si>
  <si>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</si>
  <si>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</si>
  <si>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</si>
  <si>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</si>
  <si>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</si>
  <si>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</si>
  <si>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</si>
  <si>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</si>
  <si>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</si>
  <si>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</si>
  <si>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</si>
  <si>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 xml:space="preserve">JULY 2024 NET SALARY </t>
  </si>
  <si>
    <t>COOP CONTR/SPEC. SAVINGS</t>
  </si>
  <si>
    <t>COOP LOAN REC.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</si>
  <si>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</si>
  <si>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</si>
  <si>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</si>
  <si>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</si>
  <si>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</si>
  <si>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</si>
  <si>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</si>
  <si>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</si>
  <si>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</si>
  <si>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</si>
  <si>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</si>
  <si>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</si>
  <si>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</si>
  <si>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</si>
  <si>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</si>
  <si>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</si>
  <si>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</si>
  <si>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</si>
  <si>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</si>
  <si>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</si>
  <si>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</si>
  <si>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</si>
  <si>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</si>
  <si>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</si>
  <si>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</si>
  <si>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</si>
  <si>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</si>
  <si>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</si>
  <si>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</si>
  <si>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</si>
  <si>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</si>
  <si>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</si>
  <si>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</si>
  <si>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</si>
  <si>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</si>
  <si>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</si>
  <si>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</si>
  <si>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</si>
  <si>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</si>
  <si>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</si>
  <si>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</si>
  <si>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</si>
  <si>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</si>
  <si>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</si>
  <si>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</si>
  <si>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</si>
  <si>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</si>
  <si>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</si>
  <si>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</si>
  <si>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</si>
  <si>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</si>
  <si>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</si>
  <si>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</si>
  <si>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</si>
  <si>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</si>
  <si>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</si>
  <si>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</si>
  <si>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</si>
  <si>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</si>
  <si>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</si>
  <si>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</si>
  <si>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</si>
  <si>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</si>
  <si>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</si>
  <si>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</si>
  <si>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</si>
  <si>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</si>
  <si>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</si>
  <si>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</si>
  <si>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</si>
  <si>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</si>
  <si>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</si>
  <si>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</si>
  <si>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</si>
  <si>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</si>
  <si>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</si>
  <si>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</si>
  <si>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</si>
  <si>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</si>
  <si>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</si>
  <si>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</si>
  <si>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</si>
  <si>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</si>
  <si>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</si>
  <si>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</si>
  <si>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</si>
  <si>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</si>
  <si>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</si>
  <si>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</si>
  <si>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</si>
  <si>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</si>
  <si>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</si>
  <si>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</si>
  <si>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</si>
  <si>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</si>
  <si>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</si>
  <si>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</si>
  <si>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</si>
  <si>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</si>
  <si>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</si>
  <si>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</si>
  <si>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</si>
  <si>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</si>
  <si>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</si>
  <si>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</si>
  <si>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</si>
  <si>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</si>
  <si>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</si>
  <si>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</si>
  <si>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</si>
  <si>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</si>
  <si>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</si>
  <si>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</si>
  <si>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</si>
  <si>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</si>
  <si>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</si>
  <si>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</si>
  <si>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</si>
  <si>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</si>
  <si>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</si>
  <si>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</si>
  <si>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</si>
  <si>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</si>
  <si>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</si>
  <si>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</si>
  <si>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</si>
  <si>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</si>
  <si>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</si>
  <si>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</si>
  <si>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</si>
  <si>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</si>
  <si>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</si>
  <si>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</si>
  <si>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</si>
  <si>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</si>
  <si>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</si>
  <si>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</si>
  <si>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</si>
  <si>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</si>
  <si>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</si>
  <si>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</si>
  <si>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</si>
  <si>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</si>
  <si>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</si>
  <si>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</si>
  <si>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</si>
  <si>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</si>
  <si>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</si>
  <si>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</si>
  <si>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</si>
  <si>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</si>
  <si>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</si>
  <si>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</si>
  <si>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</si>
  <si>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</si>
  <si>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</si>
  <si>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</si>
  <si>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</si>
  <si>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</si>
  <si>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</si>
  <si>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</si>
  <si>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</si>
  <si>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</si>
  <si>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</si>
  <si>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</si>
  <si>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</si>
  <si>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</si>
  <si>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</si>
  <si>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</si>
  <si>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</si>
  <si>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</si>
  <si>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</si>
  <si>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</si>
  <si>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</si>
  <si>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</si>
  <si>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</si>
  <si>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</si>
  <si>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</si>
  <si>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</si>
  <si>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</si>
  <si>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</si>
  <si>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</si>
  <si>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</si>
  <si>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</si>
  <si>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</si>
  <si>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</si>
  <si>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</si>
  <si>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</si>
  <si>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</si>
  <si>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</si>
  <si>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</si>
  <si>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</si>
  <si>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</si>
  <si>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</si>
  <si>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</si>
  <si>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</si>
  <si>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</si>
  <si>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</si>
  <si>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</si>
  <si>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</si>
  <si>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</si>
  <si>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</si>
  <si>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</si>
  <si>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</si>
  <si>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</si>
  <si>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</si>
  <si>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</si>
  <si>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</si>
  <si>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</si>
  <si>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</si>
  <si>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</si>
  <si>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</si>
  <si>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</si>
  <si>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</si>
  <si>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</si>
  <si>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</si>
  <si>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</si>
  <si>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</si>
  <si>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</si>
  <si>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</si>
  <si>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</si>
  <si>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</si>
  <si>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</si>
  <si>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</si>
  <si>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</si>
  <si>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</si>
  <si>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</si>
  <si>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</si>
  <si>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</si>
  <si>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</si>
  <si>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</si>
  <si>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</si>
  <si>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</si>
  <si>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</si>
  <si>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</si>
  <si>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</si>
  <si>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</si>
  <si>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</si>
  <si>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</si>
  <si>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</si>
  <si>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</si>
  <si>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</si>
  <si>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</si>
  <si>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</si>
  <si>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</si>
  <si>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</si>
  <si>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</si>
  <si>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</si>
  <si>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</si>
  <si>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</si>
  <si>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</si>
  <si>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</si>
  <si>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</si>
  <si>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</si>
  <si>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</si>
  <si>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</si>
  <si>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</si>
  <si>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</si>
  <si>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</si>
  <si>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</si>
  <si>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</si>
  <si>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</si>
  <si>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</si>
  <si>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</si>
  <si>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</si>
  <si>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</si>
  <si>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</si>
  <si>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</si>
  <si>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</si>
  <si>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</si>
  <si>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</si>
  <si>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</si>
  <si>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</si>
  <si>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</si>
  <si>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</si>
  <si>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</si>
  <si>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</si>
  <si>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</si>
  <si>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</si>
  <si>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</si>
  <si>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</si>
  <si>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</si>
  <si>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</si>
  <si>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</si>
  <si>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</si>
  <si>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</si>
  <si>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</si>
  <si>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</si>
  <si>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</si>
  <si>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</si>
  <si>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</si>
  <si>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</si>
  <si>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</si>
  <si>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</si>
  <si>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</si>
  <si>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</si>
  <si>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</si>
  <si>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</si>
  <si>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</si>
  <si>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</si>
  <si>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</si>
  <si>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</si>
  <si>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</si>
  <si>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</si>
  <si>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</si>
  <si>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</si>
  <si>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</si>
  <si>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</si>
  <si>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</si>
  <si>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</si>
  <si>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</si>
  <si>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</si>
  <si>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</si>
  <si>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</si>
  <si>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</si>
  <si>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</si>
  <si>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</si>
  <si>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</si>
  <si>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</si>
  <si>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</si>
  <si>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</si>
  <si>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</si>
  <si>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</si>
  <si>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</si>
  <si>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</si>
  <si>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</si>
  <si>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</si>
  <si>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</si>
  <si>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</si>
  <si>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</si>
  <si>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</si>
  <si>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</si>
  <si>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</si>
  <si>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</si>
  <si>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</si>
  <si>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</si>
  <si>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</si>
  <si>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</si>
  <si>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</si>
  <si>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</si>
  <si>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</si>
  <si>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</si>
  <si>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</si>
  <si>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</si>
  <si>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</si>
  <si>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</si>
  <si>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</si>
  <si>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</si>
  <si>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</si>
  <si>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</si>
  <si>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</si>
  <si>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</si>
  <si>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</si>
  <si>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</si>
  <si>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</si>
  <si>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</si>
  <si>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</si>
  <si>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</si>
  <si>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</si>
  <si>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</si>
  <si>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</si>
  <si>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</si>
  <si>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</si>
  <si>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</si>
  <si>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</si>
  <si>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</si>
  <si>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</si>
  <si>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</si>
  <si>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</si>
  <si>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</si>
  <si>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</si>
  <si>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</si>
  <si>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</si>
  <si>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</si>
  <si>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</si>
  <si>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</si>
  <si>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</si>
  <si>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</si>
  <si>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</si>
  <si>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</si>
  <si>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</si>
  <si>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</si>
  <si>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</si>
  <si>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</si>
  <si>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</si>
  <si>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</si>
  <si>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</si>
  <si>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</si>
  <si>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</si>
  <si>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</si>
  <si>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</si>
  <si>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</si>
  <si>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</si>
  <si>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</si>
  <si>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</si>
  <si>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</si>
  <si>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</si>
  <si>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</si>
  <si>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</si>
  <si>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</si>
  <si>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</si>
  <si>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</si>
  <si>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</si>
  <si>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</si>
  <si>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</si>
  <si>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</si>
  <si>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</si>
  <si>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</si>
  <si>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</si>
  <si>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</si>
  <si>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</si>
  <si>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</si>
  <si>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</si>
  <si>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</si>
  <si>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</si>
  <si>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</si>
  <si>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</si>
  <si>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</si>
  <si>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</si>
  <si>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</si>
  <si>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</si>
  <si>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</si>
  <si>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</si>
  <si>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</si>
  <si>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</si>
  <si>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</si>
  <si>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</si>
  <si>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</si>
  <si>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</si>
  <si>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</si>
  <si>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</si>
  <si>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</si>
  <si>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</si>
  <si>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</si>
  <si>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</si>
  <si>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</si>
  <si>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</si>
  <si>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</si>
  <si>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</si>
  <si>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</si>
  <si>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STAFF CHRISTMAS WELFARE DECEMBER 2023</t>
  </si>
  <si>
    <t>15 (7)</t>
  </si>
  <si>
    <t>FAROOQ ONOKIJIPA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</si>
  <si>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</si>
  <si>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</si>
  <si>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</si>
  <si>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</si>
  <si>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</si>
  <si>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</si>
  <si>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</si>
  <si>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</si>
  <si>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</si>
  <si>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</si>
  <si>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</si>
  <si>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</si>
  <si>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</si>
  <si>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</si>
  <si>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</si>
  <si>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</si>
  <si>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</si>
  <si>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</si>
  <si>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</si>
  <si>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</si>
  <si>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</si>
  <si>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</si>
  <si>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</si>
  <si>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</si>
  <si>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</si>
  <si>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</si>
  <si>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</si>
  <si>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</si>
  <si>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</si>
  <si>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</si>
  <si>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</si>
  <si>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</si>
  <si>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</si>
  <si>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</si>
  <si>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</si>
  <si>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</si>
  <si>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</si>
  <si>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</si>
  <si>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</si>
  <si>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</si>
  <si>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</si>
  <si>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</si>
  <si>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</si>
  <si>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</si>
  <si>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</si>
  <si>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</si>
  <si>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</si>
  <si>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</si>
  <si>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</si>
  <si>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</si>
  <si>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</si>
  <si>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</si>
  <si>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</si>
  <si>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</si>
  <si>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</si>
  <si>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</si>
  <si>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</si>
  <si>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</si>
  <si>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</si>
  <si>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</si>
  <si>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</si>
  <si>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</si>
  <si>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</si>
  <si>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</si>
  <si>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</si>
  <si>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</si>
  <si>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</si>
  <si>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</si>
  <si>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</si>
  <si>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</si>
  <si>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</si>
  <si>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</si>
  <si>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</si>
  <si>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</si>
  <si>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</si>
  <si>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</si>
  <si>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</si>
  <si>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</si>
  <si>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</si>
  <si>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</si>
  <si>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</si>
  <si>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</si>
  <si>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</si>
  <si>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</si>
  <si>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</si>
  <si>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</si>
  <si>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</si>
  <si>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</si>
  <si>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</si>
  <si>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</si>
  <si>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</si>
  <si>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</si>
  <si>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</si>
  <si>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</si>
  <si>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</si>
  <si>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</si>
  <si>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</si>
  <si>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</si>
  <si>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</si>
  <si>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</si>
  <si>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</si>
  <si>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</si>
  <si>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</si>
  <si>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</si>
  <si>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</si>
  <si>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</si>
  <si>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</si>
  <si>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</si>
  <si>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</si>
  <si>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</si>
  <si>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</si>
  <si>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</si>
  <si>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</si>
  <si>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</si>
  <si>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</si>
  <si>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</si>
  <si>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</si>
  <si>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</si>
  <si>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</si>
  <si>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</si>
  <si>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 xml:space="preserve">Casual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</si>
  <si>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</si>
  <si>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</si>
  <si>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</si>
  <si>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</si>
  <si>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</si>
  <si>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</si>
  <si>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Mugisat Abdulganiyyu</t>
  </si>
  <si>
    <t>Echianu Chinedu Chikadibia</t>
  </si>
  <si>
    <t>Zainab Bakare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</si>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</sst>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  <numFmt numFmtId="178" formatCode="#,##0.0"/>
  </numFmts>
  <fonts count="138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sz val="14"/>
      <name val="Times New Roman"/>
      <charset val="0"/>
    </font>
    <font>
      <sz val="11"/>
      <color theme="1"/>
      <name val="Calibri"/>
      <charset val="0"/>
      <scheme val="minor"/>
    </font>
    <font>
      <b/>
      <u/>
      <sz val="18"/>
      <name val="Times New Roman"/>
      <charset val="0"/>
    </font>
    <font>
      <sz val="18"/>
      <name val="Times New Roman"/>
      <charset val="0"/>
    </font>
    <font>
      <b/>
      <u/>
      <sz val="16"/>
      <name val="Times New Roman"/>
      <charset val="0"/>
    </font>
    <font>
      <b/>
      <sz val="12"/>
      <name val="Times New Roman"/>
      <charset val="0"/>
    </font>
    <font>
      <b/>
      <u/>
      <sz val="12"/>
      <name val="Times New Roman"/>
      <charset val="0"/>
    </font>
    <font>
      <b/>
      <sz val="14"/>
      <name val="Times New Roman"/>
      <charset val="0"/>
    </font>
    <font>
      <b/>
      <u/>
      <sz val="14"/>
      <name val="Times New Roman"/>
      <charset val="0"/>
    </font>
    <font>
      <strike/>
      <sz val="14"/>
      <name val="Times New Roman"/>
      <charset val="0"/>
    </font>
    <font>
      <sz val="14"/>
      <color theme="1"/>
      <name val="Times New Roman"/>
      <charset val="0"/>
    </font>
    <font>
      <sz val="14"/>
      <color indexed="8"/>
      <name val="Times New Roman"/>
      <charset val="0"/>
    </font>
    <font>
      <sz val="14"/>
      <color rgb="FFFF0000"/>
      <name val="Times New Roman"/>
      <charset val="0"/>
    </font>
    <font>
      <b/>
      <sz val="12"/>
      <name val="Tahoma"/>
      <charset val="0"/>
    </font>
    <font>
      <b/>
      <u/>
      <sz val="11"/>
      <name val="Times New Roman"/>
      <charset val="0"/>
    </font>
    <font>
      <b/>
      <u/>
      <sz val="14"/>
      <color theme="1"/>
      <name val="Times New Roman"/>
      <charset val="134"/>
    </font>
    <font>
      <sz val="11"/>
      <color theme="1"/>
      <name val="Times New Roman"/>
      <charset val="1"/>
    </font>
    <font>
      <b/>
      <u/>
      <sz val="10"/>
      <color theme="1"/>
      <name val="Times New Roman"/>
      <charset val="134"/>
    </font>
    <font>
      <sz val="8"/>
      <name val="Arial"/>
      <charset val="134"/>
    </font>
    <font>
      <sz val="10"/>
      <name val="Times New Roman"/>
      <charset val="0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0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46" fillId="31" borderId="19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20" applyNumberFormat="0" applyFill="0" applyAlignment="0" applyProtection="0">
      <alignment vertical="center"/>
    </xf>
    <xf numFmtId="0" fontId="125" fillId="0" borderId="20" applyNumberFormat="0" applyFill="0" applyAlignment="0" applyProtection="0">
      <alignment vertical="center"/>
    </xf>
    <xf numFmtId="0" fontId="126" fillId="0" borderId="21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32" borderId="22" applyNumberFormat="0" applyAlignment="0" applyProtection="0">
      <alignment vertical="center"/>
    </xf>
    <xf numFmtId="0" fontId="128" fillId="33" borderId="23" applyNumberFormat="0" applyAlignment="0" applyProtection="0">
      <alignment vertical="center"/>
    </xf>
    <xf numFmtId="0" fontId="129" fillId="33" borderId="22" applyNumberFormat="0" applyAlignment="0" applyProtection="0">
      <alignment vertical="center"/>
    </xf>
    <xf numFmtId="0" fontId="130" fillId="34" borderId="24" applyNumberFormat="0" applyAlignment="0" applyProtection="0">
      <alignment vertical="center"/>
    </xf>
    <xf numFmtId="0" fontId="131" fillId="0" borderId="25" applyNumberFormat="0" applyFill="0" applyAlignment="0" applyProtection="0">
      <alignment vertical="center"/>
    </xf>
    <xf numFmtId="0" fontId="132" fillId="0" borderId="26" applyNumberFormat="0" applyFill="0" applyAlignment="0" applyProtection="0">
      <alignment vertical="center"/>
    </xf>
    <xf numFmtId="0" fontId="133" fillId="35" borderId="0" applyNumberFormat="0" applyBorder="0" applyAlignment="0" applyProtection="0">
      <alignment vertical="center"/>
    </xf>
    <xf numFmtId="0" fontId="134" fillId="36" borderId="0" applyNumberFormat="0" applyBorder="0" applyAlignment="0" applyProtection="0">
      <alignment vertical="center"/>
    </xf>
    <xf numFmtId="0" fontId="135" fillId="37" borderId="0" applyNumberFormat="0" applyBorder="0" applyAlignment="0" applyProtection="0">
      <alignment vertical="center"/>
    </xf>
    <xf numFmtId="0" fontId="136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136" fillId="41" borderId="0" applyNumberFormat="0" applyBorder="0" applyAlignment="0" applyProtection="0">
      <alignment vertical="center"/>
    </xf>
    <xf numFmtId="0" fontId="136" fillId="42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96" fillId="44" borderId="0" applyNumberFormat="0" applyBorder="0" applyAlignment="0" applyProtection="0">
      <alignment vertical="center"/>
    </xf>
    <xf numFmtId="0" fontId="136" fillId="45" borderId="0" applyNumberFormat="0" applyBorder="0" applyAlignment="0" applyProtection="0">
      <alignment vertical="center"/>
    </xf>
    <xf numFmtId="0" fontId="136" fillId="46" borderId="0" applyNumberFormat="0" applyBorder="0" applyAlignment="0" applyProtection="0">
      <alignment vertical="center"/>
    </xf>
    <xf numFmtId="0" fontId="96" fillId="18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136" fillId="47" borderId="0" applyNumberFormat="0" applyBorder="0" applyAlignment="0" applyProtection="0">
      <alignment vertical="center"/>
    </xf>
    <xf numFmtId="0" fontId="136" fillId="48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96" fillId="50" borderId="0" applyNumberFormat="0" applyBorder="0" applyAlignment="0" applyProtection="0">
      <alignment vertical="center"/>
    </xf>
    <xf numFmtId="0" fontId="136" fillId="51" borderId="0" applyNumberFormat="0" applyBorder="0" applyAlignment="0" applyProtection="0">
      <alignment vertical="center"/>
    </xf>
    <xf numFmtId="0" fontId="136" fillId="52" borderId="0" applyNumberFormat="0" applyBorder="0" applyAlignment="0" applyProtection="0">
      <alignment vertical="center"/>
    </xf>
    <xf numFmtId="0" fontId="96" fillId="53" borderId="0" applyNumberFormat="0" applyBorder="0" applyAlignment="0" applyProtection="0">
      <alignment vertical="center"/>
    </xf>
    <xf numFmtId="0" fontId="96" fillId="54" borderId="0" applyNumberFormat="0" applyBorder="0" applyAlignment="0" applyProtection="0">
      <alignment vertical="center"/>
    </xf>
    <xf numFmtId="0" fontId="136" fillId="55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56" borderId="0" applyNumberFormat="0" applyBorder="0" applyAlignment="0" applyProtection="0">
      <alignment vertical="center"/>
    </xf>
    <xf numFmtId="0" fontId="136" fillId="57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  <xf numFmtId="0" fontId="137" fillId="0" borderId="0" applyFont="0" applyFill="0" applyBorder="0" applyAlignment="0" applyProtection="0"/>
  </cellStyleXfs>
  <cellXfs count="108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77" fontId="1" fillId="18" borderId="1" xfId="50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0" fontId="64" fillId="19" borderId="1" xfId="0" applyFont="1" applyFill="1" applyBorder="1" applyAlignment="1">
      <alignment horizontal="center"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50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2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3" fillId="9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77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96" fillId="0" borderId="0" xfId="0" applyFont="1" applyFill="1" applyBorder="1" applyAlignment="1"/>
    <xf numFmtId="0" fontId="97" fillId="2" borderId="0" xfId="0" applyFont="1" applyFill="1" applyBorder="1" applyAlignment="1"/>
    <xf numFmtId="0" fontId="98" fillId="2" borderId="0" xfId="0" applyFont="1" applyFill="1" applyBorder="1" applyAlignment="1"/>
    <xf numFmtId="0" fontId="99" fillId="2" borderId="0" xfId="0" applyFont="1" applyFill="1" applyBorder="1" applyAlignment="1"/>
    <xf numFmtId="0" fontId="95" fillId="2" borderId="0" xfId="0" applyFont="1" applyFill="1" applyBorder="1" applyAlignment="1"/>
    <xf numFmtId="0" fontId="100" fillId="2" borderId="1" xfId="0" applyFont="1" applyFill="1" applyBorder="1" applyAlignment="1"/>
    <xf numFmtId="0" fontId="101" fillId="2" borderId="1" xfId="0" applyFont="1" applyFill="1" applyBorder="1" applyAlignment="1">
      <alignment horizontal="left"/>
    </xf>
    <xf numFmtId="0" fontId="101" fillId="2" borderId="1" xfId="0" applyFont="1" applyFill="1" applyBorder="1" applyAlignment="1">
      <alignment horizontal="left" wrapText="1"/>
    </xf>
    <xf numFmtId="0" fontId="102" fillId="2" borderId="1" xfId="0" applyFont="1" applyFill="1" applyBorder="1" applyAlignment="1"/>
    <xf numFmtId="0" fontId="103" fillId="2" borderId="1" xfId="0" applyFont="1" applyFill="1" applyBorder="1" applyAlignment="1">
      <alignment horizontal="left"/>
    </xf>
    <xf numFmtId="0" fontId="103" fillId="2" borderId="1" xfId="0" applyFont="1" applyFill="1" applyBorder="1" applyAlignment="1">
      <alignment horizontal="left" wrapText="1"/>
    </xf>
    <xf numFmtId="0" fontId="95" fillId="2" borderId="1" xfId="0" applyFont="1" applyFill="1" applyBorder="1" applyAlignment="1"/>
    <xf numFmtId="0" fontId="104" fillId="2" borderId="1" xfId="0" applyFont="1" applyFill="1" applyBorder="1" applyAlignment="1">
      <alignment horizontal="center"/>
    </xf>
    <xf numFmtId="49" fontId="95" fillId="3" borderId="1" xfId="0" applyNumberFormat="1" applyFont="1" applyFill="1" applyBorder="1" applyAlignment="1">
      <alignment wrapText="1"/>
    </xf>
    <xf numFmtId="0" fontId="95" fillId="0" borderId="1" xfId="0" applyFont="1" applyFill="1" applyBorder="1" applyAlignment="1"/>
    <xf numFmtId="43" fontId="105" fillId="0" borderId="1" xfId="1" applyFont="1" applyBorder="1"/>
    <xf numFmtId="4" fontId="105" fillId="0" borderId="1" xfId="1" applyNumberFormat="1" applyFont="1" applyFill="1" applyBorder="1" applyAlignment="1">
      <alignment horizontal="right"/>
    </xf>
    <xf numFmtId="4" fontId="106" fillId="2" borderId="18" xfId="0" applyNumberFormat="1" applyFont="1" applyFill="1" applyBorder="1" applyAlignment="1">
      <alignment horizontal="right"/>
    </xf>
    <xf numFmtId="43" fontId="105" fillId="2" borderId="1" xfId="1" applyFont="1" applyFill="1" applyBorder="1"/>
    <xf numFmtId="4" fontId="105" fillId="2" borderId="1" xfId="1" applyNumberFormat="1" applyFont="1" applyFill="1" applyBorder="1" applyAlignment="1">
      <alignment horizontal="right"/>
    </xf>
    <xf numFmtId="49" fontId="95" fillId="2" borderId="1" xfId="0" applyNumberFormat="1" applyFont="1" applyFill="1" applyBorder="1" applyAlignment="1">
      <alignment wrapText="1"/>
    </xf>
    <xf numFmtId="43" fontId="105" fillId="2" borderId="1" xfId="1" applyFont="1" applyFill="1" applyBorder="1" applyAlignment="1">
      <alignment horizontal="right"/>
    </xf>
    <xf numFmtId="43" fontId="105" fillId="2" borderId="18" xfId="1" applyFont="1" applyFill="1" applyBorder="1" applyAlignment="1">
      <alignment horizontal="right"/>
    </xf>
    <xf numFmtId="43" fontId="95" fillId="2" borderId="1" xfId="1" applyFont="1" applyFill="1" applyBorder="1" applyAlignment="1">
      <alignment horizontal="right"/>
    </xf>
    <xf numFmtId="0" fontId="107" fillId="2" borderId="1" xfId="0" applyFont="1" applyFill="1" applyBorder="1" applyAlignment="1"/>
    <xf numFmtId="0" fontId="95" fillId="2" borderId="18" xfId="0" applyFont="1" applyFill="1" applyBorder="1" applyAlignment="1">
      <alignment horizontal="left"/>
    </xf>
    <xf numFmtId="0" fontId="95" fillId="2" borderId="18" xfId="0" applyFont="1" applyFill="1" applyBorder="1" applyAlignment="1"/>
    <xf numFmtId="43" fontId="95" fillId="2" borderId="18" xfId="1" applyFont="1" applyFill="1" applyBorder="1" applyAlignment="1">
      <alignment horizontal="right"/>
    </xf>
    <xf numFmtId="0" fontId="108" fillId="0" borderId="1" xfId="0" applyFont="1" applyFill="1" applyBorder="1" applyAlignment="1">
      <alignment horizontal="center"/>
    </xf>
    <xf numFmtId="17" fontId="108" fillId="0" borderId="1" xfId="0" applyNumberFormat="1" applyFont="1" applyFill="1" applyBorder="1" applyAlignment="1">
      <alignment horizontal="center" wrapText="1"/>
    </xf>
    <xf numFmtId="0" fontId="109" fillId="2" borderId="1" xfId="0" applyFont="1" applyFill="1" applyBorder="1" applyAlignment="1">
      <alignment horizontal="center" wrapText="1"/>
    </xf>
    <xf numFmtId="0" fontId="103" fillId="28" borderId="1" xfId="0" applyFont="1" applyFill="1" applyBorder="1" applyAlignment="1">
      <alignment horizontal="left" wrapText="1"/>
    </xf>
    <xf numFmtId="0" fontId="104" fillId="28" borderId="1" xfId="0" applyFont="1" applyFill="1" applyBorder="1" applyAlignment="1">
      <alignment horizontal="center"/>
    </xf>
    <xf numFmtId="4" fontId="106" fillId="2" borderId="1" xfId="0" applyNumberFormat="1" applyFont="1" applyFill="1" applyBorder="1" applyAlignment="1">
      <alignment horizontal="right"/>
    </xf>
    <xf numFmtId="4" fontId="106" fillId="28" borderId="18" xfId="0" applyNumberFormat="1" applyFont="1" applyFill="1" applyBorder="1" applyAlignment="1">
      <alignment horizontal="right"/>
    </xf>
    <xf numFmtId="0" fontId="31" fillId="0" borderId="1" xfId="0" applyFont="1" applyBorder="1" applyAlignment="1">
      <alignment wrapText="1"/>
    </xf>
    <xf numFmtId="0" fontId="31" fillId="2" borderId="1" xfId="0" applyFont="1" applyFill="1" applyBorder="1" applyAlignment="1">
      <alignment wrapText="1"/>
    </xf>
    <xf numFmtId="0" fontId="110" fillId="0" borderId="0" xfId="0" applyFont="1" applyAlignment="1">
      <alignment horizontal="center"/>
    </xf>
    <xf numFmtId="0" fontId="83" fillId="0" borderId="1" xfId="0" applyFont="1" applyBorder="1" applyAlignment="1">
      <alignment horizontal="center" wrapText="1"/>
    </xf>
    <xf numFmtId="4" fontId="31" fillId="0" borderId="1" xfId="0" applyNumberFormat="1" applyFont="1" applyBorder="1" applyAlignment="1">
      <alignment wrapText="1"/>
    </xf>
    <xf numFmtId="0" fontId="31" fillId="3" borderId="1" xfId="0" applyFont="1" applyFill="1" applyBorder="1" applyAlignment="1">
      <alignment wrapText="1"/>
    </xf>
    <xf numFmtId="0" fontId="35" fillId="29" borderId="1" xfId="0" applyFont="1" applyFill="1" applyBorder="1" applyAlignment="1">
      <alignment horizontal="center" wrapText="1"/>
    </xf>
    <xf numFmtId="4" fontId="31" fillId="29" borderId="1" xfId="0" applyNumberFormat="1" applyFont="1" applyFill="1" applyBorder="1" applyAlignment="1">
      <alignment wrapText="1"/>
    </xf>
    <xf numFmtId="4" fontId="31" fillId="0" borderId="1" xfId="0" applyNumberFormat="1" applyFont="1" applyBorder="1"/>
    <xf numFmtId="4" fontId="0" fillId="0" borderId="1" xfId="0" applyNumberFormat="1" applyBorder="1"/>
    <xf numFmtId="4" fontId="36" fillId="29" borderId="1" xfId="0" applyNumberFormat="1" applyFont="1" applyFill="1" applyBorder="1" applyAlignment="1">
      <alignment wrapText="1"/>
    </xf>
    <xf numFmtId="0" fontId="83" fillId="0" borderId="0" xfId="0" applyFont="1" applyAlignment="1">
      <alignment horizontal="center" wrapText="1"/>
    </xf>
    <xf numFmtId="0" fontId="83" fillId="0" borderId="17" xfId="0" applyFont="1" applyBorder="1" applyAlignment="1">
      <alignment horizontal="center" wrapText="1"/>
    </xf>
    <xf numFmtId="0" fontId="84" fillId="0" borderId="17" xfId="0" applyFont="1" applyBorder="1" applyAlignment="1">
      <alignment horizontal="center" wrapText="1"/>
    </xf>
    <xf numFmtId="0" fontId="64" fillId="0" borderId="1" xfId="0" applyFont="1" applyFill="1" applyBorder="1" applyAlignment="1"/>
    <xf numFmtId="0" fontId="64" fillId="0" borderId="1" xfId="0" applyFont="1" applyFill="1" applyBorder="1" applyAlignment="1">
      <alignment wrapText="1"/>
    </xf>
    <xf numFmtId="0" fontId="64" fillId="0" borderId="1" xfId="0" applyFont="1" applyBorder="1" applyAlignment="1">
      <alignment horizontal="left" wrapText="1"/>
    </xf>
    <xf numFmtId="4" fontId="81" fillId="0" borderId="1" xfId="0" applyNumberFormat="1" applyFont="1" applyBorder="1"/>
    <xf numFmtId="0" fontId="81" fillId="0" borderId="1" xfId="0" applyFont="1" applyBorder="1"/>
    <xf numFmtId="16" fontId="81" fillId="0" borderId="1" xfId="0" applyNumberFormat="1" applyFont="1" applyBorder="1"/>
    <xf numFmtId="4" fontId="32" fillId="0" borderId="1" xfId="0" applyNumberFormat="1" applyFont="1" applyBorder="1"/>
    <xf numFmtId="0" fontId="81" fillId="0" borderId="0" xfId="0" applyFont="1"/>
    <xf numFmtId="0" fontId="111" fillId="0" borderId="0" xfId="0" applyFont="1"/>
    <xf numFmtId="178" fontId="81" fillId="0" borderId="1" xfId="0" applyNumberFormat="1" applyFont="1" applyBorder="1"/>
    <xf numFmtId="3" fontId="81" fillId="0" borderId="1" xfId="0" applyNumberFormat="1" applyFont="1" applyBorder="1"/>
    <xf numFmtId="4" fontId="36" fillId="0" borderId="1" xfId="0" applyNumberFormat="1" applyFont="1" applyBorder="1"/>
    <xf numFmtId="43" fontId="7" fillId="21" borderId="1" xfId="1" applyFont="1" applyFill="1" applyBorder="1" applyAlignment="1">
      <alignment horizontal="right"/>
    </xf>
    <xf numFmtId="43" fontId="7" fillId="30" borderId="1" xfId="1" applyFont="1" applyFill="1" applyBorder="1" applyAlignment="1">
      <alignment horizontal="right"/>
    </xf>
    <xf numFmtId="43" fontId="1" fillId="26" borderId="1" xfId="1" applyFont="1" applyFill="1" applyBorder="1" applyAlignment="1">
      <alignment horizontal="right"/>
    </xf>
    <xf numFmtId="49" fontId="1" fillId="26" borderId="1" xfId="0" applyNumberFormat="1" applyFont="1" applyFill="1" applyBorder="1" applyAlignment="1">
      <alignment horizontal="center"/>
    </xf>
    <xf numFmtId="1" fontId="0" fillId="2" borderId="0" xfId="0" applyNumberFormat="1" applyFill="1"/>
    <xf numFmtId="1" fontId="57" fillId="2" borderId="0" xfId="0" applyNumberFormat="1" applyFont="1" applyFill="1" applyAlignment="1">
      <alignment horizontal="center"/>
    </xf>
    <xf numFmtId="1" fontId="57" fillId="2" borderId="0" xfId="0" applyNumberFormat="1" applyFont="1" applyFill="1" applyAlignment="1">
      <alignment horizontal="center" wrapText="1"/>
    </xf>
    <xf numFmtId="1" fontId="57" fillId="2" borderId="15" xfId="0" applyNumberFormat="1" applyFont="1" applyFill="1" applyBorder="1" applyAlignment="1">
      <alignment wrapText="1"/>
    </xf>
    <xf numFmtId="1" fontId="58" fillId="2" borderId="1" xfId="0" applyNumberFormat="1" applyFont="1" applyFill="1" applyBorder="1" applyAlignment="1">
      <alignment horizontal="center" wrapText="1"/>
    </xf>
    <xf numFmtId="4" fontId="59" fillId="2" borderId="1" xfId="1" applyNumberFormat="1" applyFont="1" applyFill="1" applyBorder="1" applyAlignment="1">
      <alignment vertical="center"/>
    </xf>
    <xf numFmtId="4" fontId="58" fillId="2" borderId="1" xfId="1" applyNumberFormat="1" applyFont="1" applyFill="1" applyBorder="1"/>
    <xf numFmtId="4" fontId="31" fillId="2" borderId="1" xfId="51" applyNumberFormat="1" applyFont="1" applyFill="1" applyBorder="1" applyAlignment="1">
      <alignment horizontal="right"/>
    </xf>
    <xf numFmtId="4" fontId="112" fillId="2" borderId="1" xfId="1" applyNumberFormat="1" applyFont="1" applyFill="1" applyBorder="1"/>
    <xf numFmtId="1" fontId="112" fillId="2" borderId="1" xfId="1" applyNumberFormat="1" applyFont="1" applyFill="1" applyBorder="1"/>
    <xf numFmtId="0" fontId="57" fillId="9" borderId="15" xfId="0" applyFont="1" applyFill="1" applyBorder="1" applyAlignment="1">
      <alignment horizontal="right" wrapText="1"/>
    </xf>
    <xf numFmtId="43" fontId="58" fillId="9" borderId="1" xfId="1" applyFont="1" applyFill="1" applyBorder="1"/>
    <xf numFmtId="4" fontId="58" fillId="9" borderId="1" xfId="1" applyNumberFormat="1" applyFont="1" applyFill="1" applyBorder="1"/>
    <xf numFmtId="4" fontId="112" fillId="9" borderId="1" xfId="1" applyNumberFormat="1" applyFont="1" applyFill="1" applyBorder="1"/>
    <xf numFmtId="43" fontId="0" fillId="2" borderId="0" xfId="0" applyNumberFormat="1" applyFill="1"/>
    <xf numFmtId="4" fontId="113" fillId="2" borderId="0" xfId="0" applyNumberFormat="1" applyFont="1" applyFill="1"/>
    <xf numFmtId="0" fontId="113" fillId="2" borderId="0" xfId="0" applyFont="1" applyFill="1"/>
    <xf numFmtId="4" fontId="32" fillId="2" borderId="1" xfId="1" applyNumberFormat="1" applyFont="1" applyFill="1" applyBorder="1"/>
    <xf numFmtId="1" fontId="32" fillId="2" borderId="1" xfId="1" applyNumberFormat="1" applyFont="1" applyFill="1" applyBorder="1"/>
    <xf numFmtId="4" fontId="114" fillId="9" borderId="1" xfId="1" applyNumberFormat="1" applyFont="1" applyFill="1" applyBorder="1" applyAlignment="1">
      <alignment horizontal="right"/>
    </xf>
    <xf numFmtId="4" fontId="58" fillId="2" borderId="0" xfId="1" applyNumberFormat="1" applyFont="1" applyFill="1"/>
    <xf numFmtId="4" fontId="31" fillId="2" borderId="0" xfId="51" applyNumberFormat="1" applyFont="1" applyFill="1" applyAlignment="1">
      <alignment horizontal="right"/>
    </xf>
    <xf numFmtId="4" fontId="32" fillId="9" borderId="1" xfId="1" applyNumberFormat="1" applyFont="1" applyFill="1" applyBorder="1"/>
    <xf numFmtId="4" fontId="57" fillId="2" borderId="1" xfId="1" applyNumberFormat="1" applyFont="1" applyFill="1" applyBorder="1"/>
    <xf numFmtId="1" fontId="57" fillId="2" borderId="1" xfId="1" applyNumberFormat="1" applyFont="1" applyFill="1" applyBorder="1"/>
    <xf numFmtId="4" fontId="57" fillId="9" borderId="1" xfId="1" applyNumberFormat="1" applyFont="1" applyFill="1" applyBorder="1"/>
    <xf numFmtId="4" fontId="31" fillId="2" borderId="5" xfId="51" applyNumberFormat="1" applyFont="1" applyFill="1" applyBorder="1" applyAlignment="1">
      <alignment horizontal="right"/>
    </xf>
    <xf numFmtId="0" fontId="58" fillId="2" borderId="5" xfId="0" applyFont="1" applyFill="1" applyBorder="1" applyAlignment="1">
      <alignment horizontal="center"/>
    </xf>
    <xf numFmtId="49" fontId="19" fillId="2" borderId="5" xfId="0" applyNumberFormat="1" applyFont="1" applyFill="1" applyBorder="1" applyAlignment="1">
      <alignment horizontal="left" wrapText="1"/>
    </xf>
    <xf numFmtId="4" fontId="58" fillId="2" borderId="5" xfId="1" applyNumberFormat="1" applyFont="1" applyFill="1" applyBorder="1"/>
    <xf numFmtId="4" fontId="19" fillId="2" borderId="1" xfId="0" applyNumberFormat="1" applyFont="1" applyFill="1" applyBorder="1" applyAlignment="1">
      <alignment horizontal="left"/>
    </xf>
    <xf numFmtId="4" fontId="34" fillId="2" borderId="1" xfId="0" applyNumberFormat="1" applyFont="1" applyFill="1" applyBorder="1"/>
    <xf numFmtId="1" fontId="34" fillId="2" borderId="1" xfId="0" applyNumberFormat="1" applyFont="1" applyFill="1" applyBorder="1"/>
    <xf numFmtId="1" fontId="36" fillId="2" borderId="1" xfId="0" applyNumberFormat="1" applyFont="1" applyFill="1" applyBorder="1"/>
    <xf numFmtId="1" fontId="19" fillId="2" borderId="1" xfId="0" applyNumberFormat="1" applyFont="1" applyFill="1" applyBorder="1"/>
    <xf numFmtId="1" fontId="19" fillId="2" borderId="0" xfId="0" applyNumberFormat="1" applyFont="1" applyFill="1"/>
    <xf numFmtId="4" fontId="34" fillId="9" borderId="1" xfId="0" applyNumberFormat="1" applyFont="1" applyFill="1" applyBorder="1"/>
    <xf numFmtId="4" fontId="36" fillId="30" borderId="1" xfId="0" applyNumberFormat="1" applyFont="1" applyFill="1" applyBorder="1"/>
    <xf numFmtId="43" fontId="19" fillId="2" borderId="1" xfId="0" applyNumberFormat="1" applyFont="1" applyFill="1" applyBorder="1"/>
    <xf numFmtId="4" fontId="19" fillId="2" borderId="0" xfId="0" applyNumberFormat="1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15" fillId="0" borderId="0" xfId="0" applyFont="1" applyAlignment="1">
      <alignment horizontal="left"/>
    </xf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17" fontId="3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177" fontId="1" fillId="2" borderId="1" xfId="0" applyNumberFormat="1" applyFont="1" applyFill="1" applyBorder="1"/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applyFont="1" applyBorder="1" applyAlignment="1" quotePrefix="1">
      <alignment horizontal="center"/>
    </xf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9" borderId="1" xfId="0" applyFont="1" applyFill="1" applyBorder="1" applyAlignment="1" quotePrefix="1">
      <alignment horizontal="center" wrapText="1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  <cellStyle name="Comma 4" xfId="53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8" Type="http://schemas.openxmlformats.org/officeDocument/2006/relationships/styles" Target="styles.xml"/><Relationship Id="rId147" Type="http://schemas.openxmlformats.org/officeDocument/2006/relationships/sharedStrings" Target="sharedStrings.xml"/><Relationship Id="rId146" Type="http://schemas.openxmlformats.org/officeDocument/2006/relationships/theme" Target="theme/theme1.xml"/><Relationship Id="rId145" Type="http://schemas.openxmlformats.org/officeDocument/2006/relationships/externalLink" Target="externalLinks/externalLink21.xml"/><Relationship Id="rId144" Type="http://schemas.openxmlformats.org/officeDocument/2006/relationships/externalLink" Target="externalLinks/externalLink20.xml"/><Relationship Id="rId143" Type="http://schemas.openxmlformats.org/officeDocument/2006/relationships/externalLink" Target="externalLinks/externalLink19.xml"/><Relationship Id="rId142" Type="http://schemas.openxmlformats.org/officeDocument/2006/relationships/externalLink" Target="externalLinks/externalLink18.xml"/><Relationship Id="rId141" Type="http://schemas.openxmlformats.org/officeDocument/2006/relationships/externalLink" Target="externalLinks/externalLink17.xml"/><Relationship Id="rId140" Type="http://schemas.openxmlformats.org/officeDocument/2006/relationships/externalLink" Target="externalLinks/externalLink16.xml"/><Relationship Id="rId14" Type="http://schemas.openxmlformats.org/officeDocument/2006/relationships/worksheet" Target="worksheets/sheet14.xml"/><Relationship Id="rId139" Type="http://schemas.openxmlformats.org/officeDocument/2006/relationships/externalLink" Target="externalLinks/externalLink15.xml"/><Relationship Id="rId138" Type="http://schemas.openxmlformats.org/officeDocument/2006/relationships/externalLink" Target="externalLinks/externalLink14.xml"/><Relationship Id="rId137" Type="http://schemas.openxmlformats.org/officeDocument/2006/relationships/externalLink" Target="externalLinks/externalLink13.xml"/><Relationship Id="rId136" Type="http://schemas.openxmlformats.org/officeDocument/2006/relationships/externalLink" Target="externalLinks/externalLink12.xml"/><Relationship Id="rId135" Type="http://schemas.openxmlformats.org/officeDocument/2006/relationships/externalLink" Target="externalLinks/externalLink11.xml"/><Relationship Id="rId134" Type="http://schemas.openxmlformats.org/officeDocument/2006/relationships/externalLink" Target="externalLinks/externalLink10.xml"/><Relationship Id="rId133" Type="http://schemas.openxmlformats.org/officeDocument/2006/relationships/externalLink" Target="externalLinks/externalLink9.xml"/><Relationship Id="rId132" Type="http://schemas.openxmlformats.org/officeDocument/2006/relationships/externalLink" Target="externalLinks/externalLink8.xml"/><Relationship Id="rId131" Type="http://schemas.openxmlformats.org/officeDocument/2006/relationships/externalLink" Target="externalLinks/externalLink7.xml"/><Relationship Id="rId130" Type="http://schemas.openxmlformats.org/officeDocument/2006/relationships/externalLink" Target="externalLinks/externalLink6.xml"/><Relationship Id="rId13" Type="http://schemas.openxmlformats.org/officeDocument/2006/relationships/worksheet" Target="worksheets/sheet13.xml"/><Relationship Id="rId129" Type="http://schemas.openxmlformats.org/officeDocument/2006/relationships/externalLink" Target="externalLinks/externalLink5.xml"/><Relationship Id="rId128" Type="http://schemas.openxmlformats.org/officeDocument/2006/relationships/externalLink" Target="externalLinks/externalLink4.xml"/><Relationship Id="rId127" Type="http://schemas.openxmlformats.org/officeDocument/2006/relationships/externalLink" Target="externalLinks/externalLink3.xml"/><Relationship Id="rId126" Type="http://schemas.openxmlformats.org/officeDocument/2006/relationships/externalLink" Target="externalLinks/externalLink2.xml"/><Relationship Id="rId125" Type="http://schemas.openxmlformats.org/officeDocument/2006/relationships/externalLink" Target="externalLinks/externalLink1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</xdr:colOff>
      <xdr:row>0</xdr:row>
      <xdr:rowOff>31750</xdr:rowOff>
    </xdr:from>
    <xdr:to>
      <xdr:col>5</xdr:col>
      <xdr:colOff>1492250</xdr:colOff>
      <xdr:row>1</xdr:row>
      <xdr:rowOff>57150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31750"/>
          <a:ext cx="1460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%202025%20Contract,%20Sabbatical,NYSC%20&amp;%20Consu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Updated%20Lists%20of%20the%20Institutes'%20Service%20Providers%20(1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May%202025%20%20Salary%20-%20New%20Staff%20Old%20fig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5\June%202025%20Payroll\2024%20C0NLESS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December%202025%20Contract,%20Sabbatical,NYSC%20&amp;%20Consul.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&amp;%20Peculiar%20Allo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311094.416666667</v>
          </cell>
        </row>
        <row r="43">
          <cell r="I43">
            <v>445995.833333333</v>
          </cell>
        </row>
        <row r="44">
          <cell r="H44">
            <v>523386.5</v>
          </cell>
        </row>
      </sheetData>
      <sheetData sheetId="2">
        <row r="44">
          <cell r="H44">
            <v>329324.583333333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 refreshError="1"/>
      <sheetData sheetId="1" refreshError="1">
        <row r="44">
          <cell r="I44">
            <v>539028</v>
          </cell>
        </row>
      </sheetData>
      <sheetData sheetId="2" refreshError="1">
        <row r="44">
          <cell r="I44">
            <v>339980.916666667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Dec Contract"/>
      <sheetName val="CASUAL, SABB &amp; NYSC Dec"/>
      <sheetName val="CONSULTANTS Dec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>
        <row r="32">
          <cell r="E32">
            <v>2611200</v>
          </cell>
        </row>
      </sheetData>
      <sheetData sheetId="4">
        <row r="93">
          <cell r="D93">
            <v>4250400</v>
          </cell>
        </row>
      </sheetData>
      <sheetData sheetId="5">
        <row r="20">
          <cell r="D20">
            <v>1296000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33">
          <cell r="K33">
            <v>92926.5</v>
          </cell>
        </row>
        <row r="34">
          <cell r="J34">
            <v>97920.6666666667</v>
          </cell>
        </row>
        <row r="34">
          <cell r="M34">
            <v>102619.5</v>
          </cell>
        </row>
        <row r="36">
          <cell r="I36">
            <v>162898.416666667</v>
          </cell>
          <cell r="J36">
            <v>166508.333333333</v>
          </cell>
          <cell r="K36">
            <v>170118.25</v>
          </cell>
        </row>
        <row r="37">
          <cell r="L37">
            <v>204734.416666667</v>
          </cell>
        </row>
        <row r="37">
          <cell r="O37">
            <v>217289.25</v>
          </cell>
        </row>
        <row r="38">
          <cell r="H38">
            <v>212792.166666667</v>
          </cell>
        </row>
        <row r="38">
          <cell r="K38">
            <v>227615.75</v>
          </cell>
        </row>
        <row r="39">
          <cell r="H39">
            <v>235577.833333333</v>
          </cell>
        </row>
        <row r="39">
          <cell r="K39">
            <v>251467.916666667</v>
          </cell>
        </row>
        <row r="40">
          <cell r="L40">
            <v>311094.416666667</v>
          </cell>
        </row>
        <row r="41">
          <cell r="J41">
            <v>320359.083333333</v>
          </cell>
        </row>
        <row r="41">
          <cell r="L41">
            <v>337730.833333333</v>
          </cell>
        </row>
        <row r="42">
          <cell r="I42">
            <v>338365.25</v>
          </cell>
        </row>
        <row r="42">
          <cell r="L42">
            <v>366417.5</v>
          </cell>
        </row>
      </sheetData>
      <sheetData sheetId="2">
        <row r="36">
          <cell r="I36">
            <v>80802</v>
          </cell>
        </row>
        <row r="37">
          <cell r="L37">
            <v>111196.166666667</v>
          </cell>
        </row>
        <row r="37">
          <cell r="O37">
            <v>119670.916666667</v>
          </cell>
        </row>
        <row r="38">
          <cell r="K38">
            <v>127704.916666667</v>
          </cell>
        </row>
        <row r="39">
          <cell r="K39">
            <v>147663.25</v>
          </cell>
        </row>
        <row r="40">
          <cell r="L40">
            <v>185402.75</v>
          </cell>
        </row>
        <row r="41">
          <cell r="J41">
            <v>191739.833333333</v>
          </cell>
        </row>
        <row r="41">
          <cell r="L41">
            <v>203620.5</v>
          </cell>
        </row>
        <row r="42">
          <cell r="I42">
            <v>204054.25</v>
          </cell>
        </row>
        <row r="42">
          <cell r="L42">
            <v>223239.5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4"/>
  <sheetViews>
    <sheetView tabSelected="1"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O252" sqref="O252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5.4545454545455" style="1" customWidth="1"/>
    <col min="7" max="7" width="18.2818181818182" style="1" customWidth="1"/>
    <col min="8" max="8" width="18.1363636363636" style="1" customWidth="1"/>
    <col min="9" max="9" width="16" style="1" customWidth="1"/>
    <col min="10" max="10" width="21.5727272727273" style="1" customWidth="1"/>
    <col min="11" max="11" width="5.81818181818182" style="1" customWidth="1"/>
    <col min="12" max="12" width="18.4272727272727" style="1" customWidth="1"/>
    <col min="13" max="14" width="17.7090909090909" style="1" customWidth="1"/>
    <col min="15" max="15" width="13.2727272727273" style="1" customWidth="1"/>
    <col min="16" max="16" width="17.6363636363636" style="1" customWidth="1"/>
    <col min="17" max="17" width="16.7727272727273" style="1" customWidth="1"/>
    <col min="18" max="18" width="17.5818181818182" style="1" customWidth="1"/>
    <col min="19" max="19" width="23.1272727272727" style="1" customWidth="1"/>
    <col min="20" max="20" width="24.8454545454545" style="1" customWidth="1"/>
    <col min="21" max="21" width="12.5272727272727" style="1" customWidth="1"/>
    <col min="22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0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0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18" t="s">
        <v>14</v>
      </c>
      <c r="P4" s="24" t="s">
        <v>15</v>
      </c>
      <c r="Q4" s="218" t="s">
        <v>16</v>
      </c>
      <c r="R4" s="506" t="s">
        <v>17</v>
      </c>
      <c r="S4" s="80" t="s">
        <v>18</v>
      </c>
      <c r="T4" s="635" t="s">
        <v>19</v>
      </c>
    </row>
    <row r="5" ht="17.25" customHeight="1" spans="3:20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/>
      <c r="O5" s="82" t="s">
        <v>20</v>
      </c>
      <c r="P5" s="82" t="s">
        <v>20</v>
      </c>
      <c r="Q5" s="82" t="s">
        <v>20</v>
      </c>
      <c r="R5" s="508" t="s">
        <v>20</v>
      </c>
      <c r="S5" s="82" t="s">
        <v>20</v>
      </c>
      <c r="T5" s="507" t="s">
        <v>20</v>
      </c>
    </row>
    <row r="6" customHeight="1" spans="1:20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82"/>
      <c r="R6" s="508"/>
      <c r="S6" s="82"/>
      <c r="T6" s="507"/>
    </row>
    <row r="7" customHeight="1" spans="1:20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  <c r="F7" s="85"/>
      <c r="G7" s="220">
        <f>250000</f>
        <v>250000</v>
      </c>
      <c r="H7" s="220"/>
      <c r="I7" s="85">
        <v>25235</v>
      </c>
      <c r="J7" s="509">
        <f t="shared" ref="J7:J38" si="0">E7+F7+G7+H7+I7</f>
        <v>2246372.08333333</v>
      </c>
      <c r="K7" s="85"/>
      <c r="L7" s="85"/>
      <c r="M7" s="85"/>
      <c r="N7" s="85"/>
      <c r="O7" s="85">
        <v>0</v>
      </c>
      <c r="P7" s="85">
        <v>427498.912499999</v>
      </c>
      <c r="Q7" s="85"/>
      <c r="R7" s="510">
        <f t="shared" ref="R7:R26" si="1">P7+O7+M7+N7+L7+K7+Q7</f>
        <v>427498.912499999</v>
      </c>
      <c r="S7" s="85">
        <v>1836401.97666666</v>
      </c>
      <c r="T7" s="509">
        <f t="shared" ref="T7:T26" si="2">J7-R7</f>
        <v>1818873.17083333</v>
      </c>
    </row>
    <row r="8" customHeight="1" spans="1:20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  <c r="F8" s="85"/>
      <c r="G8" s="220"/>
      <c r="H8" s="220">
        <f>90000</f>
        <v>90000</v>
      </c>
      <c r="I8" s="85">
        <f>100000</f>
        <v>100000</v>
      </c>
      <c r="J8" s="509">
        <f t="shared" si="0"/>
        <v>1095306.75</v>
      </c>
      <c r="K8" s="85"/>
      <c r="L8" s="85">
        <f>250000</f>
        <v>250000</v>
      </c>
      <c r="M8" s="85"/>
      <c r="N8" s="85">
        <v>100000</v>
      </c>
      <c r="O8" s="85"/>
      <c r="P8" s="85">
        <v>167305.2641</v>
      </c>
      <c r="Q8" s="85">
        <v>72424.54</v>
      </c>
      <c r="R8" s="510">
        <f t="shared" si="1"/>
        <v>589729.8041</v>
      </c>
      <c r="S8" s="85">
        <v>497822.159013333</v>
      </c>
      <c r="T8" s="509">
        <f t="shared" si="2"/>
        <v>505576.9459</v>
      </c>
    </row>
    <row r="9" customHeight="1" spans="1:20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1295306.75</v>
      </c>
      <c r="K9" s="85"/>
      <c r="L9" s="85"/>
      <c r="M9" s="85"/>
      <c r="N9" s="85"/>
      <c r="O9" s="85">
        <v>0</v>
      </c>
      <c r="P9" s="85">
        <v>224514.4175</v>
      </c>
      <c r="Q9" s="85"/>
      <c r="R9" s="510">
        <f t="shared" si="1"/>
        <v>224514.4175</v>
      </c>
      <c r="S9" s="85">
        <v>1067941.18733333</v>
      </c>
      <c r="T9" s="509">
        <f t="shared" si="2"/>
        <v>1070792.3325</v>
      </c>
    </row>
    <row r="10" customHeight="1" spans="1:20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  <c r="F10" s="85"/>
      <c r="G10" s="220">
        <v>180000</v>
      </c>
      <c r="H10" s="220"/>
      <c r="I10" s="85">
        <v>0</v>
      </c>
      <c r="J10" s="509">
        <f t="shared" si="0"/>
        <v>1085306.75</v>
      </c>
      <c r="K10" s="85"/>
      <c r="L10" s="85">
        <f>50000</f>
        <v>50000</v>
      </c>
      <c r="M10" s="85"/>
      <c r="N10" s="85"/>
      <c r="O10" s="85">
        <v>13866.7375</v>
      </c>
      <c r="P10" s="85">
        <v>162322.78505</v>
      </c>
      <c r="Q10" s="85">
        <v>72424.54</v>
      </c>
      <c r="R10" s="510">
        <f t="shared" si="1"/>
        <v>298614.06255</v>
      </c>
      <c r="S10" s="85">
        <v>778537.835113333</v>
      </c>
      <c r="T10" s="509">
        <f t="shared" si="2"/>
        <v>786692.68745</v>
      </c>
    </row>
    <row r="11" customHeight="1" spans="1:20">
      <c r="A11" s="10">
        <v>5</v>
      </c>
      <c r="B11" s="11" t="s">
        <v>33</v>
      </c>
      <c r="C11" s="12" t="s">
        <v>34</v>
      </c>
      <c r="D11" s="15" t="s">
        <v>35</v>
      </c>
      <c r="E11" s="85">
        <v>905306.75</v>
      </c>
      <c r="F11" s="85"/>
      <c r="G11" s="220"/>
      <c r="H11" s="220">
        <f>90000</f>
        <v>90000</v>
      </c>
      <c r="I11" s="85">
        <v>50000</v>
      </c>
      <c r="J11" s="509">
        <f t="shared" si="0"/>
        <v>1045306.75</v>
      </c>
      <c r="K11" s="85"/>
      <c r="L11" s="85">
        <f>50000-40000</f>
        <v>10000</v>
      </c>
      <c r="M11" s="85">
        <f>90000+110000</f>
        <v>200000</v>
      </c>
      <c r="N11" s="85"/>
      <c r="O11" s="85">
        <v>13866.7375</v>
      </c>
      <c r="P11" s="85">
        <v>155122.78505</v>
      </c>
      <c r="Q11" s="85">
        <v>72424.54</v>
      </c>
      <c r="R11" s="510">
        <f t="shared" si="1"/>
        <v>451414.06255</v>
      </c>
      <c r="S11" s="85">
        <v>569000.886273333</v>
      </c>
      <c r="T11" s="509">
        <f t="shared" si="2"/>
        <v>593892.68745</v>
      </c>
    </row>
    <row r="12" customHeight="1" spans="1:20">
      <c r="A12" s="10">
        <v>6</v>
      </c>
      <c r="B12" s="11" t="s">
        <v>36</v>
      </c>
      <c r="C12" s="4" t="s">
        <v>37</v>
      </c>
      <c r="D12" s="10" t="s">
        <v>38</v>
      </c>
      <c r="E12" s="85">
        <v>744477</v>
      </c>
      <c r="F12" s="85"/>
      <c r="G12" s="220">
        <v>160000</v>
      </c>
      <c r="H12" s="220"/>
      <c r="I12" s="85">
        <f>100000+100000</f>
        <v>200000</v>
      </c>
      <c r="J12" s="509">
        <f t="shared" si="0"/>
        <v>1104477</v>
      </c>
      <c r="K12" s="85"/>
      <c r="L12" s="85"/>
      <c r="M12" s="85"/>
      <c r="N12" s="85"/>
      <c r="O12" s="85">
        <v>11475.2625</v>
      </c>
      <c r="P12" s="85">
        <v>169523.151275</v>
      </c>
      <c r="Q12" s="85">
        <v>59558.16</v>
      </c>
      <c r="R12" s="510">
        <f t="shared" si="1"/>
        <v>240556.573775</v>
      </c>
      <c r="S12" s="85">
        <v>840352.80838</v>
      </c>
      <c r="T12" s="509">
        <f t="shared" si="2"/>
        <v>863920.426225</v>
      </c>
    </row>
    <row r="13" customHeight="1" spans="1:20">
      <c r="A13" s="10">
        <v>7</v>
      </c>
      <c r="B13" s="11" t="s">
        <v>39</v>
      </c>
      <c r="C13" s="4" t="s">
        <v>40</v>
      </c>
      <c r="D13" s="15" t="s">
        <v>41</v>
      </c>
      <c r="E13" s="85">
        <v>700713.916666666</v>
      </c>
      <c r="F13" s="85"/>
      <c r="G13" s="220"/>
      <c r="H13" s="220">
        <f>80000</f>
        <v>80000</v>
      </c>
      <c r="I13" s="85">
        <f>0</f>
        <v>0</v>
      </c>
      <c r="J13" s="509">
        <f t="shared" si="0"/>
        <v>780713.916666666</v>
      </c>
      <c r="K13" s="85"/>
      <c r="L13" s="85"/>
      <c r="M13" s="85"/>
      <c r="N13" s="85"/>
      <c r="O13" s="85"/>
      <c r="P13" s="85">
        <v>112938.2246</v>
      </c>
      <c r="Q13" s="85">
        <v>56057.1133333333</v>
      </c>
      <c r="R13" s="510">
        <f t="shared" si="1"/>
        <v>168995.337933333</v>
      </c>
      <c r="S13" s="85">
        <v>605150.196186666</v>
      </c>
      <c r="T13" s="509">
        <f t="shared" si="2"/>
        <v>611718.578733333</v>
      </c>
    </row>
    <row r="14" customHeight="1" spans="1:20">
      <c r="A14" s="10">
        <v>8</v>
      </c>
      <c r="B14" s="14" t="s">
        <v>42</v>
      </c>
      <c r="C14" s="17" t="s">
        <v>43</v>
      </c>
      <c r="D14" s="15" t="s">
        <v>38</v>
      </c>
      <c r="E14" s="85">
        <v>744477</v>
      </c>
      <c r="F14" s="85"/>
      <c r="G14" s="220">
        <v>160000</v>
      </c>
      <c r="H14" s="220"/>
      <c r="I14" s="85">
        <f>50000</f>
        <v>50000</v>
      </c>
      <c r="J14" s="509">
        <f t="shared" si="0"/>
        <v>954477</v>
      </c>
      <c r="K14" s="85"/>
      <c r="L14" s="85">
        <f>50000</f>
        <v>50000</v>
      </c>
      <c r="M14" s="85"/>
      <c r="N14" s="85"/>
      <c r="O14" s="85"/>
      <c r="P14" s="85">
        <v>143585.3912</v>
      </c>
      <c r="Q14" s="85">
        <v>59558.16</v>
      </c>
      <c r="R14" s="510">
        <f t="shared" si="1"/>
        <v>253143.5512</v>
      </c>
      <c r="S14" s="85">
        <v>678161.924213333</v>
      </c>
      <c r="T14" s="509">
        <f t="shared" si="2"/>
        <v>701333.4488</v>
      </c>
    </row>
    <row r="15" customHeight="1" spans="1:20">
      <c r="A15" s="10">
        <v>9</v>
      </c>
      <c r="B15" s="11" t="s">
        <v>44</v>
      </c>
      <c r="C15" s="4" t="s">
        <v>45</v>
      </c>
      <c r="D15" s="10" t="s">
        <v>46</v>
      </c>
      <c r="E15" s="85">
        <v>573911.083333334</v>
      </c>
      <c r="F15" s="85"/>
      <c r="G15" s="220">
        <f>140000</f>
        <v>140000</v>
      </c>
      <c r="H15" s="220"/>
      <c r="I15" s="85">
        <f>150000+100000</f>
        <v>250000</v>
      </c>
      <c r="J15" s="509">
        <f t="shared" si="0"/>
        <v>963911.083333334</v>
      </c>
      <c r="K15" s="85"/>
      <c r="L15" s="85">
        <v>150000</v>
      </c>
      <c r="M15" s="85">
        <v>0</v>
      </c>
      <c r="N15" s="85"/>
      <c r="O15" s="85">
        <v>8926.66666666668</v>
      </c>
      <c r="P15" s="85">
        <v>146132.8754</v>
      </c>
      <c r="Q15" s="85">
        <v>45912.8866666667</v>
      </c>
      <c r="R15" s="510">
        <f t="shared" si="1"/>
        <v>350972.428733333</v>
      </c>
      <c r="S15" s="85">
        <v>592678.155656666</v>
      </c>
      <c r="T15" s="509">
        <f t="shared" si="2"/>
        <v>612938.654600001</v>
      </c>
    </row>
    <row r="16" customHeight="1" spans="1:20">
      <c r="A16" s="10">
        <v>10</v>
      </c>
      <c r="B16" s="11" t="s">
        <v>47</v>
      </c>
      <c r="C16" s="4" t="s">
        <v>48</v>
      </c>
      <c r="D16" s="10" t="s">
        <v>49</v>
      </c>
      <c r="E16" s="85">
        <v>722595.5</v>
      </c>
      <c r="F16" s="85"/>
      <c r="G16" s="220"/>
      <c r="H16" s="220">
        <v>80000</v>
      </c>
      <c r="I16" s="85">
        <v>50000</v>
      </c>
      <c r="J16" s="509">
        <f t="shared" si="0"/>
        <v>852595.5</v>
      </c>
      <c r="K16" s="4"/>
      <c r="L16" s="4"/>
      <c r="M16" s="85"/>
      <c r="N16" s="85">
        <v>10000</v>
      </c>
      <c r="O16" s="85"/>
      <c r="P16" s="85">
        <v>125561.8148</v>
      </c>
      <c r="Q16" s="85">
        <v>57807.64</v>
      </c>
      <c r="R16" s="510">
        <f t="shared" si="1"/>
        <v>193369.4548</v>
      </c>
      <c r="S16" s="85">
        <v>637256.030426666</v>
      </c>
      <c r="T16" s="509">
        <f t="shared" si="2"/>
        <v>659226.0452</v>
      </c>
    </row>
    <row r="17" customHeight="1" spans="1:20">
      <c r="A17" s="10">
        <v>11</v>
      </c>
      <c r="B17" s="11" t="s">
        <v>50</v>
      </c>
      <c r="C17" s="12" t="s">
        <v>51</v>
      </c>
      <c r="D17" s="10" t="s">
        <v>52</v>
      </c>
      <c r="E17" s="85">
        <v>542419.5</v>
      </c>
      <c r="F17" s="85"/>
      <c r="G17" s="220">
        <f>140000</f>
        <v>140000</v>
      </c>
      <c r="H17" s="220"/>
      <c r="I17" s="85">
        <v>0</v>
      </c>
      <c r="J17" s="509">
        <f t="shared" si="0"/>
        <v>682419.5</v>
      </c>
      <c r="K17" s="85"/>
      <c r="L17" s="85"/>
      <c r="M17" s="85"/>
      <c r="N17" s="85"/>
      <c r="O17" s="85"/>
      <c r="P17" s="85">
        <v>97524.6692</v>
      </c>
      <c r="Q17" s="85">
        <v>43393.56</v>
      </c>
      <c r="R17" s="510">
        <f t="shared" si="1"/>
        <v>140918.2292</v>
      </c>
      <c r="S17" s="85">
        <v>538909.559146666</v>
      </c>
      <c r="T17" s="509">
        <f t="shared" si="2"/>
        <v>541501.2708</v>
      </c>
    </row>
    <row r="18" customHeight="1" spans="1:20">
      <c r="A18" s="10">
        <v>12</v>
      </c>
      <c r="B18" s="18" t="s">
        <v>53</v>
      </c>
      <c r="C18" s="4" t="s">
        <v>54</v>
      </c>
      <c r="D18" s="15" t="s">
        <v>55</v>
      </c>
      <c r="E18" s="85">
        <v>541351.333333333</v>
      </c>
      <c r="F18" s="85"/>
      <c r="G18" s="220">
        <f>120000</f>
        <v>120000</v>
      </c>
      <c r="H18" s="220"/>
      <c r="I18" s="85">
        <f>100000+100000</f>
        <v>200000</v>
      </c>
      <c r="J18" s="509">
        <f t="shared" si="0"/>
        <v>861351.333333333</v>
      </c>
      <c r="K18" s="85"/>
      <c r="L18" s="85">
        <f>30000-20000</f>
        <v>10000</v>
      </c>
      <c r="M18" s="85">
        <f>127777.78</f>
        <v>127777.78</v>
      </c>
      <c r="N18" s="85"/>
      <c r="O18" s="85">
        <v>8443.27083333333</v>
      </c>
      <c r="P18" s="85">
        <v>128227.99205</v>
      </c>
      <c r="Q18" s="85">
        <v>43308.1066666667</v>
      </c>
      <c r="R18" s="510">
        <f t="shared" si="1"/>
        <v>317757.14955</v>
      </c>
      <c r="S18" s="85">
        <v>527015.203963334</v>
      </c>
      <c r="T18" s="509">
        <f t="shared" si="2"/>
        <v>543594.183783333</v>
      </c>
    </row>
    <row r="19" customHeight="1" spans="1:20">
      <c r="A19" s="10">
        <v>13</v>
      </c>
      <c r="B19" s="18" t="s">
        <v>56</v>
      </c>
      <c r="C19" s="4" t="s">
        <v>57</v>
      </c>
      <c r="D19" s="15" t="s">
        <v>58</v>
      </c>
      <c r="E19" s="676">
        <v>512098.916666667</v>
      </c>
      <c r="F19" s="85"/>
      <c r="G19" s="4"/>
      <c r="H19" s="220">
        <v>70000</v>
      </c>
      <c r="I19" s="85"/>
      <c r="J19" s="509">
        <f t="shared" si="0"/>
        <v>582098.916666667</v>
      </c>
      <c r="K19" s="85"/>
      <c r="L19" s="686">
        <v>50000</v>
      </c>
      <c r="M19" s="686">
        <v>250000</v>
      </c>
      <c r="N19" s="686"/>
      <c r="O19" s="833">
        <v>8008.97708333333</v>
      </c>
      <c r="P19" s="686">
        <v>78461.964725</v>
      </c>
      <c r="Q19" s="85">
        <v>40967.9133333333</v>
      </c>
      <c r="R19" s="510">
        <f t="shared" si="1"/>
        <v>427438.855141667</v>
      </c>
      <c r="S19" s="85">
        <v>141398.877123333</v>
      </c>
      <c r="T19" s="509">
        <f t="shared" si="2"/>
        <v>154660.061525</v>
      </c>
    </row>
    <row r="20" customHeight="1" spans="1:20">
      <c r="A20" s="10">
        <v>14</v>
      </c>
      <c r="B20" s="18" t="s">
        <v>59</v>
      </c>
      <c r="C20" s="4" t="s">
        <v>60</v>
      </c>
      <c r="D20" s="15" t="s">
        <v>58</v>
      </c>
      <c r="E20" s="676">
        <v>512098.916666667</v>
      </c>
      <c r="F20" s="85"/>
      <c r="G20" s="833">
        <v>120000</v>
      </c>
      <c r="H20" s="220"/>
      <c r="I20" s="85"/>
      <c r="J20" s="509">
        <f t="shared" si="0"/>
        <v>632098.916666667</v>
      </c>
      <c r="K20" s="85"/>
      <c r="L20" s="686"/>
      <c r="M20" s="686"/>
      <c r="N20" s="686"/>
      <c r="O20" s="4"/>
      <c r="P20" s="686">
        <v>88903.5806</v>
      </c>
      <c r="Q20" s="85">
        <v>40967.9133333333</v>
      </c>
      <c r="R20" s="510">
        <f t="shared" si="1"/>
        <v>129871.493933333</v>
      </c>
      <c r="S20" s="85">
        <v>488094.676773333</v>
      </c>
      <c r="T20" s="509">
        <f t="shared" si="2"/>
        <v>502227.422733334</v>
      </c>
    </row>
    <row r="21" customHeight="1" spans="1:20">
      <c r="A21" s="10">
        <v>15</v>
      </c>
      <c r="B21" s="11" t="s">
        <v>61</v>
      </c>
      <c r="C21" s="12" t="s">
        <v>62</v>
      </c>
      <c r="D21" s="15" t="s">
        <v>63</v>
      </c>
      <c r="E21" s="85">
        <v>497472.75</v>
      </c>
      <c r="F21" s="85"/>
      <c r="G21" s="220"/>
      <c r="H21" s="220">
        <f>70000</f>
        <v>70000</v>
      </c>
      <c r="I21" s="85">
        <f>250000</f>
        <v>250000</v>
      </c>
      <c r="J21" s="509">
        <f t="shared" si="0"/>
        <v>817472.75</v>
      </c>
      <c r="K21" s="85"/>
      <c r="L21" s="85">
        <v>20000</v>
      </c>
      <c r="M21" s="85">
        <f>68750</f>
        <v>68750</v>
      </c>
      <c r="N21" s="85"/>
      <c r="O21" s="85">
        <v>7791.83125</v>
      </c>
      <c r="P21" s="85">
        <v>121078.957775</v>
      </c>
      <c r="Q21" s="85">
        <v>39797.82</v>
      </c>
      <c r="R21" s="510">
        <f t="shared" si="1"/>
        <v>257418.609025</v>
      </c>
      <c r="S21" s="85">
        <v>540487.455263334</v>
      </c>
      <c r="T21" s="509">
        <f t="shared" si="2"/>
        <v>560054.140975</v>
      </c>
    </row>
    <row r="22" ht="18.75" customHeight="1" spans="1:20">
      <c r="A22" s="10">
        <v>16</v>
      </c>
      <c r="B22" s="11" t="s">
        <v>64</v>
      </c>
      <c r="C22" s="4" t="s">
        <v>65</v>
      </c>
      <c r="D22" s="15" t="s">
        <v>66</v>
      </c>
      <c r="E22" s="85">
        <v>482846.583333333</v>
      </c>
      <c r="F22" s="85"/>
      <c r="G22" s="220"/>
      <c r="H22" s="220">
        <f>70000</f>
        <v>70000</v>
      </c>
      <c r="I22" s="85">
        <f>100000+50000</f>
        <v>150000</v>
      </c>
      <c r="J22" s="509">
        <f t="shared" si="0"/>
        <v>702846.583333333</v>
      </c>
      <c r="K22" s="85"/>
      <c r="L22" s="85">
        <f>10000</f>
        <v>10000</v>
      </c>
      <c r="M22" s="85">
        <v>292813.77</v>
      </c>
      <c r="N22" s="85"/>
      <c r="O22" s="85">
        <v>7574.68541666667</v>
      </c>
      <c r="P22" s="85">
        <v>100695.950825</v>
      </c>
      <c r="Q22" s="85">
        <v>38627.7266666666</v>
      </c>
      <c r="R22" s="510">
        <f t="shared" si="1"/>
        <v>449712.132908333</v>
      </c>
      <c r="S22" s="85">
        <v>244123.327893333</v>
      </c>
      <c r="T22" s="509">
        <f t="shared" si="2"/>
        <v>253134.450425</v>
      </c>
    </row>
    <row r="23" customHeight="1" spans="1:20">
      <c r="A23" s="10">
        <v>17</v>
      </c>
      <c r="B23" s="14" t="s">
        <v>67</v>
      </c>
      <c r="C23" s="17" t="s">
        <v>68</v>
      </c>
      <c r="D23" s="10" t="s">
        <v>69</v>
      </c>
      <c r="E23" s="85">
        <v>468828.166666667</v>
      </c>
      <c r="F23" s="85"/>
      <c r="G23" s="220">
        <f t="shared" ref="G23" si="3">100000</f>
        <v>100000</v>
      </c>
      <c r="H23" s="220"/>
      <c r="I23" s="85">
        <f>100000+100000</f>
        <v>200000</v>
      </c>
      <c r="J23" s="509">
        <f t="shared" si="0"/>
        <v>768828.166666667</v>
      </c>
      <c r="K23" s="85"/>
      <c r="L23" s="85">
        <f>50000+100000</f>
        <v>150000</v>
      </c>
      <c r="M23" s="85"/>
      <c r="N23" s="85"/>
      <c r="O23" s="85"/>
      <c r="P23" s="85">
        <v>114137.9444</v>
      </c>
      <c r="Q23" s="85">
        <v>37506.2533333334</v>
      </c>
      <c r="R23" s="510">
        <f t="shared" si="1"/>
        <v>301644.197733333</v>
      </c>
      <c r="S23" s="85">
        <v>451957.363439999</v>
      </c>
      <c r="T23" s="509">
        <f t="shared" si="2"/>
        <v>467183.968933334</v>
      </c>
    </row>
    <row r="24" ht="21.6" customHeight="1" spans="1:20">
      <c r="A24" s="10">
        <v>18</v>
      </c>
      <c r="B24" s="11" t="s">
        <v>70</v>
      </c>
      <c r="C24" s="17" t="s">
        <v>71</v>
      </c>
      <c r="D24" s="15" t="s">
        <v>69</v>
      </c>
      <c r="E24" s="85">
        <v>468828.166666667</v>
      </c>
      <c r="F24" s="85"/>
      <c r="G24" s="220">
        <v>110000</v>
      </c>
      <c r="H24" s="220"/>
      <c r="I24" s="85">
        <v>0</v>
      </c>
      <c r="J24" s="509">
        <f t="shared" si="0"/>
        <v>578828.166666667</v>
      </c>
      <c r="K24" s="85"/>
      <c r="L24" s="85">
        <v>0</v>
      </c>
      <c r="M24" s="85"/>
      <c r="N24" s="85">
        <v>30000</v>
      </c>
      <c r="O24" s="85">
        <v>7366.57291666668</v>
      </c>
      <c r="P24" s="85">
        <v>78611.9612750001</v>
      </c>
      <c r="Q24" s="85">
        <v>37506.2533333334</v>
      </c>
      <c r="R24" s="510">
        <f t="shared" si="1"/>
        <v>153484.787525</v>
      </c>
      <c r="S24" s="85">
        <v>411276.186356666</v>
      </c>
      <c r="T24" s="509">
        <f t="shared" si="2"/>
        <v>425343.379141667</v>
      </c>
    </row>
    <row r="25" customHeight="1" spans="1:20">
      <c r="A25" s="10">
        <v>19</v>
      </c>
      <c r="B25" s="14" t="s">
        <v>72</v>
      </c>
      <c r="C25" s="17" t="s">
        <v>73</v>
      </c>
      <c r="D25" s="10" t="s">
        <v>74</v>
      </c>
      <c r="E25" s="85">
        <v>381140.666666666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0"/>
        <v>641140.666666666</v>
      </c>
      <c r="K25" s="85"/>
      <c r="L25" s="85">
        <v>150000</v>
      </c>
      <c r="M25" s="85"/>
      <c r="N25" s="85"/>
      <c r="O25" s="85"/>
      <c r="P25" s="85">
        <v>92416.8943999999</v>
      </c>
      <c r="Q25" s="85">
        <v>30491.2533333333</v>
      </c>
      <c r="R25" s="510">
        <f t="shared" si="1"/>
        <v>272908.147733333</v>
      </c>
      <c r="S25" s="85">
        <v>364738.059306666</v>
      </c>
      <c r="T25" s="509">
        <f t="shared" si="2"/>
        <v>368232.518933333</v>
      </c>
    </row>
    <row r="26" customHeight="1" spans="1:20">
      <c r="A26" s="10">
        <v>20</v>
      </c>
      <c r="B26" s="14" t="s">
        <v>75</v>
      </c>
      <c r="C26" s="17" t="s">
        <v>76</v>
      </c>
      <c r="D26" s="10" t="s">
        <v>77</v>
      </c>
      <c r="E26" s="85">
        <v>390135.833333334</v>
      </c>
      <c r="F26" s="85"/>
      <c r="G26" s="220"/>
      <c r="H26" s="220">
        <v>60000</v>
      </c>
      <c r="I26" s="85"/>
      <c r="J26" s="509">
        <f t="shared" si="0"/>
        <v>450135.833333334</v>
      </c>
      <c r="K26" s="85"/>
      <c r="L26" s="85">
        <v>50000</v>
      </c>
      <c r="M26" s="85"/>
      <c r="N26" s="1081">
        <v>10000</v>
      </c>
      <c r="O26" s="916">
        <v>6154.27916666668</v>
      </c>
      <c r="P26" s="85">
        <v>56798.7237500001</v>
      </c>
      <c r="Q26" s="85">
        <v>31210.8666666667</v>
      </c>
      <c r="R26" s="510">
        <f t="shared" si="1"/>
        <v>154163.869583333</v>
      </c>
      <c r="S26" s="85">
        <v>287116.194723333</v>
      </c>
      <c r="T26" s="509">
        <f t="shared" si="2"/>
        <v>295971.963750001</v>
      </c>
    </row>
    <row r="27" ht="18.75" customHeight="1" spans="1:20">
      <c r="A27" s="10">
        <v>21</v>
      </c>
      <c r="B27" s="18" t="s">
        <v>78</v>
      </c>
      <c r="C27" s="12" t="s">
        <v>79</v>
      </c>
      <c r="D27" s="15" t="s">
        <v>80</v>
      </c>
      <c r="E27" s="85">
        <v>372145.333333333</v>
      </c>
      <c r="F27" s="85">
        <v>67298.6666666642</v>
      </c>
      <c r="G27" s="220"/>
      <c r="H27" s="220">
        <f>50000+10000</f>
        <v>60000</v>
      </c>
      <c r="I27" s="85"/>
      <c r="J27" s="509">
        <f t="shared" si="0"/>
        <v>499443.999999997</v>
      </c>
      <c r="K27" s="85"/>
      <c r="L27" s="85"/>
      <c r="M27" s="85"/>
      <c r="N27" s="85"/>
      <c r="O27" s="85">
        <v>5889.44583333333</v>
      </c>
      <c r="P27" s="85">
        <v>65980.9269499995</v>
      </c>
      <c r="Q27" s="85">
        <v>29771.6266666666</v>
      </c>
      <c r="R27" s="510">
        <f t="shared" ref="R27:R46" si="4">P27+O27+M27+N27+L27+K27+Q27</f>
        <v>101641.999449999</v>
      </c>
      <c r="S27" s="85">
        <v>394160.163689998</v>
      </c>
      <c r="T27" s="509">
        <f t="shared" ref="T27:T46" si="5">J27-R27</f>
        <v>397802.000549998</v>
      </c>
    </row>
    <row r="28" customHeight="1" spans="1:20">
      <c r="A28" s="10">
        <v>22</v>
      </c>
      <c r="B28" s="11" t="s">
        <v>81</v>
      </c>
      <c r="C28" s="4" t="s">
        <v>82</v>
      </c>
      <c r="D28" s="15" t="s">
        <v>74</v>
      </c>
      <c r="E28" s="85">
        <v>381140.666666666</v>
      </c>
      <c r="F28" s="85"/>
      <c r="G28" s="220">
        <f>110000</f>
        <v>110000</v>
      </c>
      <c r="H28" s="220"/>
      <c r="I28" s="85"/>
      <c r="J28" s="509">
        <f t="shared" si="0"/>
        <v>491140.666666666</v>
      </c>
      <c r="K28" s="85"/>
      <c r="L28" s="85">
        <f>10000</f>
        <v>10000</v>
      </c>
      <c r="M28" s="85">
        <v>127777.78</v>
      </c>
      <c r="N28" s="85"/>
      <c r="O28" s="85">
        <v>6021.86458333332</v>
      </c>
      <c r="P28" s="85">
        <v>64332.9587749999</v>
      </c>
      <c r="Q28" s="85">
        <v>30491.2533333333</v>
      </c>
      <c r="R28" s="510">
        <f t="shared" si="4"/>
        <v>238623.856691667</v>
      </c>
      <c r="S28" s="85">
        <v>251434.714773333</v>
      </c>
      <c r="T28" s="509">
        <f t="shared" si="5"/>
        <v>252516.809974999</v>
      </c>
    </row>
    <row r="29" ht="18.75" customHeight="1" spans="1:20">
      <c r="A29" s="10">
        <v>23</v>
      </c>
      <c r="B29" s="18" t="s">
        <v>83</v>
      </c>
      <c r="C29" s="12" t="s">
        <v>84</v>
      </c>
      <c r="D29" s="15" t="s">
        <v>85</v>
      </c>
      <c r="E29" s="85">
        <v>355320.666666667</v>
      </c>
      <c r="F29" s="85"/>
      <c r="G29" s="220"/>
      <c r="H29" s="220">
        <f t="shared" ref="H29:H38" si="6">60000</f>
        <v>60000</v>
      </c>
      <c r="I29" s="4"/>
      <c r="J29" s="509">
        <f t="shared" si="0"/>
        <v>415320.666666667</v>
      </c>
      <c r="K29" s="85"/>
      <c r="L29" s="85">
        <f>20000</f>
        <v>20000</v>
      </c>
      <c r="M29" s="85">
        <f>17500</f>
        <v>17500</v>
      </c>
      <c r="N29" s="85">
        <v>50000</v>
      </c>
      <c r="O29" s="85"/>
      <c r="P29" s="85">
        <v>52141.1024</v>
      </c>
      <c r="Q29" s="85">
        <v>28425.6533333333</v>
      </c>
      <c r="R29" s="510">
        <f t="shared" si="4"/>
        <v>168066.755733333</v>
      </c>
      <c r="S29" s="85">
        <v>240271.270986666</v>
      </c>
      <c r="T29" s="509">
        <f t="shared" si="5"/>
        <v>247253.910933334</v>
      </c>
    </row>
    <row r="30" ht="18.75" customHeight="1" spans="1:20">
      <c r="A30" s="10">
        <v>24</v>
      </c>
      <c r="B30" s="18" t="s">
        <v>86</v>
      </c>
      <c r="C30" s="4" t="s">
        <v>87</v>
      </c>
      <c r="D30" s="10" t="s">
        <v>88</v>
      </c>
      <c r="E30" s="85">
        <v>347016.166666666</v>
      </c>
      <c r="F30" s="85"/>
      <c r="G30" s="220"/>
      <c r="H30" s="220">
        <f t="shared" si="6"/>
        <v>60000</v>
      </c>
      <c r="I30" s="85"/>
      <c r="J30" s="509">
        <f t="shared" si="0"/>
        <v>407016.166666666</v>
      </c>
      <c r="K30" s="85"/>
      <c r="L30" s="85">
        <f>30000+20000</f>
        <v>50000</v>
      </c>
      <c r="M30" s="85">
        <v>0</v>
      </c>
      <c r="N30" s="85"/>
      <c r="O30" s="85"/>
      <c r="P30" s="85">
        <v>50765.8771999999</v>
      </c>
      <c r="Q30" s="85">
        <v>27761.2933333333</v>
      </c>
      <c r="R30" s="510">
        <f t="shared" si="4"/>
        <v>128527.170533333</v>
      </c>
      <c r="S30" s="85">
        <v>271598.037866667</v>
      </c>
      <c r="T30" s="509">
        <f t="shared" si="5"/>
        <v>278488.996133333</v>
      </c>
    </row>
    <row r="31" ht="18.75" customHeight="1" spans="1:20">
      <c r="A31" s="10">
        <v>25</v>
      </c>
      <c r="B31" s="18" t="s">
        <v>89</v>
      </c>
      <c r="C31" s="4" t="s">
        <v>90</v>
      </c>
      <c r="D31" s="15" t="s">
        <v>80</v>
      </c>
      <c r="E31" s="85">
        <v>372145.333333333</v>
      </c>
      <c r="F31" s="85"/>
      <c r="G31" s="220"/>
      <c r="H31" s="220">
        <v>60000</v>
      </c>
      <c r="I31" s="85"/>
      <c r="J31" s="509">
        <f t="shared" si="0"/>
        <v>432145.333333333</v>
      </c>
      <c r="K31" s="85"/>
      <c r="L31" s="85"/>
      <c r="M31" s="85">
        <v>0</v>
      </c>
      <c r="N31" s="85"/>
      <c r="O31" s="916">
        <v>5889.44583333333</v>
      </c>
      <c r="P31" s="85">
        <v>53867.16695</v>
      </c>
      <c r="Q31" s="85">
        <v>29771.6266666666</v>
      </c>
      <c r="R31" s="510">
        <f t="shared" si="4"/>
        <v>89528.2394499999</v>
      </c>
      <c r="S31" s="85">
        <v>339932.11744</v>
      </c>
      <c r="T31" s="509">
        <f t="shared" si="5"/>
        <v>342617.093883333</v>
      </c>
    </row>
    <row r="32" ht="18.75" customHeight="1" spans="1:20">
      <c r="A32" s="10">
        <v>26</v>
      </c>
      <c r="B32" s="18" t="s">
        <v>91</v>
      </c>
      <c r="C32" s="4" t="s">
        <v>92</v>
      </c>
      <c r="D32" s="15" t="s">
        <v>80</v>
      </c>
      <c r="E32" s="85">
        <v>372145.333333333</v>
      </c>
      <c r="F32" s="85"/>
      <c r="G32" s="220"/>
      <c r="H32" s="220">
        <v>60000</v>
      </c>
      <c r="I32" s="85"/>
      <c r="J32" s="509">
        <f t="shared" si="0"/>
        <v>432145.333333333</v>
      </c>
      <c r="K32" s="85"/>
      <c r="L32" s="85">
        <f>20000</f>
        <v>20000</v>
      </c>
      <c r="M32" s="85">
        <f>161429.76+39000+50000</f>
        <v>250429.76</v>
      </c>
      <c r="N32" s="85"/>
      <c r="O32" s="916">
        <v>5889.44583333333</v>
      </c>
      <c r="P32" s="220">
        <v>53867.16695</v>
      </c>
      <c r="Q32" s="220">
        <v>29771.6266666666</v>
      </c>
      <c r="R32" s="510">
        <f t="shared" si="4"/>
        <v>359957.99945</v>
      </c>
      <c r="S32" s="85">
        <v>69502.3574399997</v>
      </c>
      <c r="T32" s="509">
        <f t="shared" si="5"/>
        <v>72187.3338833331</v>
      </c>
    </row>
    <row r="33" ht="18.75" customHeight="1" spans="1:20">
      <c r="A33" s="10">
        <v>27</v>
      </c>
      <c r="B33" s="18" t="s">
        <v>93</v>
      </c>
      <c r="C33" s="4" t="s">
        <v>94</v>
      </c>
      <c r="D33" s="10" t="s">
        <v>88</v>
      </c>
      <c r="E33" s="85">
        <v>347016.166666666</v>
      </c>
      <c r="F33" s="85"/>
      <c r="G33" s="220"/>
      <c r="H33" s="220">
        <f t="shared" si="6"/>
        <v>60000</v>
      </c>
      <c r="I33" s="85"/>
      <c r="J33" s="509">
        <f t="shared" si="0"/>
        <v>407016.166666666</v>
      </c>
      <c r="K33" s="85"/>
      <c r="L33" s="85"/>
      <c r="M33" s="85">
        <v>0</v>
      </c>
      <c r="N33" s="85"/>
      <c r="O33" s="85"/>
      <c r="P33" s="85">
        <v>50765.8771999999</v>
      </c>
      <c r="Q33" s="85">
        <v>27761.2933333333</v>
      </c>
      <c r="R33" s="510">
        <f t="shared" si="4"/>
        <v>78527.1705333332</v>
      </c>
      <c r="S33" s="85">
        <v>321853.152106667</v>
      </c>
      <c r="T33" s="509">
        <f t="shared" si="5"/>
        <v>328488.996133333</v>
      </c>
    </row>
    <row r="34" ht="18.75" customHeight="1" spans="1:20">
      <c r="A34" s="10">
        <v>28</v>
      </c>
      <c r="B34" s="18" t="s">
        <v>95</v>
      </c>
      <c r="C34" s="4" t="s">
        <v>96</v>
      </c>
      <c r="D34" s="15" t="s">
        <v>80</v>
      </c>
      <c r="E34" s="85">
        <v>372145.333333333</v>
      </c>
      <c r="F34" s="85"/>
      <c r="G34" s="220"/>
      <c r="H34" s="220">
        <v>60000</v>
      </c>
      <c r="I34" s="85"/>
      <c r="J34" s="509">
        <f t="shared" si="0"/>
        <v>432145.333333333</v>
      </c>
      <c r="K34" s="85"/>
      <c r="L34" s="85">
        <f>0</f>
        <v>0</v>
      </c>
      <c r="M34" s="85"/>
      <c r="N34" s="85"/>
      <c r="O34" s="85"/>
      <c r="P34" s="85">
        <v>54927.2671999999</v>
      </c>
      <c r="Q34" s="85">
        <v>29771.6266666666</v>
      </c>
      <c r="R34" s="510">
        <f t="shared" si="4"/>
        <v>84698.8938666665</v>
      </c>
      <c r="S34" s="85">
        <v>346192.86144</v>
      </c>
      <c r="T34" s="509">
        <f t="shared" si="5"/>
        <v>347446.439466667</v>
      </c>
    </row>
    <row r="35" s="1" customFormat="1" ht="18.75" customHeight="1" spans="1:20">
      <c r="A35" s="10">
        <v>29</v>
      </c>
      <c r="B35" s="18" t="s">
        <v>97</v>
      </c>
      <c r="C35" s="4" t="s">
        <v>98</v>
      </c>
      <c r="D35" s="10" t="s">
        <v>99</v>
      </c>
      <c r="E35" s="85">
        <v>338711.666666667</v>
      </c>
      <c r="F35" s="85"/>
      <c r="G35" s="220"/>
      <c r="H35" s="220">
        <f t="shared" si="6"/>
        <v>60000</v>
      </c>
      <c r="I35" s="85"/>
      <c r="J35" s="509">
        <f t="shared" si="0"/>
        <v>398711.666666667</v>
      </c>
      <c r="K35" s="85"/>
      <c r="L35" s="85">
        <v>50000</v>
      </c>
      <c r="M35" s="85"/>
      <c r="N35" s="85"/>
      <c r="O35" s="85">
        <v>5443.33541666668</v>
      </c>
      <c r="P35" s="85">
        <v>48410.851625</v>
      </c>
      <c r="Q35" s="85">
        <v>27096.9333333334</v>
      </c>
      <c r="R35" s="510">
        <f t="shared" si="4"/>
        <v>130951.120375</v>
      </c>
      <c r="S35" s="85">
        <v>256765.8828</v>
      </c>
      <c r="T35" s="509">
        <f t="shared" si="5"/>
        <v>267760.546291667</v>
      </c>
    </row>
    <row r="36" s="1" customFormat="1" ht="18.75" customHeight="1" spans="1:20">
      <c r="A36" s="10">
        <v>30</v>
      </c>
      <c r="B36" s="18" t="s">
        <v>100</v>
      </c>
      <c r="C36" s="4" t="s">
        <v>98</v>
      </c>
      <c r="D36" s="10" t="s">
        <v>99</v>
      </c>
      <c r="E36" s="85">
        <v>338711.666666667</v>
      </c>
      <c r="F36" s="85"/>
      <c r="G36" s="220"/>
      <c r="H36" s="220">
        <f t="shared" si="6"/>
        <v>60000</v>
      </c>
      <c r="I36" s="85"/>
      <c r="J36" s="509">
        <f t="shared" si="0"/>
        <v>398711.666666667</v>
      </c>
      <c r="K36" s="85"/>
      <c r="L36" s="85">
        <v>50000</v>
      </c>
      <c r="M36" s="85">
        <v>60625</v>
      </c>
      <c r="N36" s="85"/>
      <c r="O36" s="85">
        <v>5443.33541666668</v>
      </c>
      <c r="P36" s="85">
        <v>48410.851625</v>
      </c>
      <c r="Q36" s="85">
        <v>27096.9333333334</v>
      </c>
      <c r="R36" s="510">
        <f t="shared" si="4"/>
        <v>191576.120375</v>
      </c>
      <c r="S36" s="85">
        <v>199480.68616</v>
      </c>
      <c r="T36" s="509">
        <f t="shared" si="5"/>
        <v>207135.546291667</v>
      </c>
    </row>
    <row r="37" s="1" customFormat="1" ht="18.75" customHeight="1" spans="1:20">
      <c r="A37" s="10">
        <v>31</v>
      </c>
      <c r="B37" s="18" t="s">
        <v>101</v>
      </c>
      <c r="C37" s="4" t="s">
        <v>84</v>
      </c>
      <c r="D37" s="10" t="s">
        <v>99</v>
      </c>
      <c r="E37" s="85">
        <v>338711.666666667</v>
      </c>
      <c r="F37" s="85"/>
      <c r="G37" s="220"/>
      <c r="H37" s="220">
        <f t="shared" si="6"/>
        <v>60000</v>
      </c>
      <c r="I37" s="85"/>
      <c r="J37" s="509">
        <f t="shared" si="0"/>
        <v>398711.666666667</v>
      </c>
      <c r="K37" s="85"/>
      <c r="L37" s="85"/>
      <c r="M37" s="85"/>
      <c r="N37" s="85"/>
      <c r="O37" s="85"/>
      <c r="P37" s="85">
        <v>49390.6520000001</v>
      </c>
      <c r="Q37" s="85">
        <v>27096.9333333334</v>
      </c>
      <c r="R37" s="510">
        <f t="shared" si="4"/>
        <v>76487.5853333335</v>
      </c>
      <c r="S37" s="85">
        <v>315426.22952</v>
      </c>
      <c r="T37" s="509">
        <f t="shared" si="5"/>
        <v>322224.081333334</v>
      </c>
    </row>
    <row r="38" s="1" customFormat="1" ht="18.75" customHeight="1" spans="1:20">
      <c r="A38" s="10">
        <v>32</v>
      </c>
      <c r="B38" s="18" t="s">
        <v>102</v>
      </c>
      <c r="C38" s="4" t="s">
        <v>94</v>
      </c>
      <c r="D38" s="10" t="s">
        <v>99</v>
      </c>
      <c r="E38" s="85">
        <v>338711.666666667</v>
      </c>
      <c r="F38" s="85"/>
      <c r="G38" s="220"/>
      <c r="H38" s="220">
        <f t="shared" si="6"/>
        <v>60000</v>
      </c>
      <c r="I38" s="85"/>
      <c r="J38" s="509">
        <f t="shared" ref="J38:J69" si="7">E38+F38+G38+H38+I38</f>
        <v>398711.666666667</v>
      </c>
      <c r="K38" s="85"/>
      <c r="L38" s="85"/>
      <c r="M38" s="85"/>
      <c r="N38" s="85"/>
      <c r="O38" s="85">
        <v>5443.33541666668</v>
      </c>
      <c r="P38" s="85">
        <v>48410.8516250001</v>
      </c>
      <c r="Q38" s="85">
        <v>27096.9333333334</v>
      </c>
      <c r="R38" s="510">
        <f t="shared" si="4"/>
        <v>80951.1203750002</v>
      </c>
      <c r="S38" s="85">
        <v>310106.42952</v>
      </c>
      <c r="T38" s="509">
        <f t="shared" si="5"/>
        <v>317760.546291667</v>
      </c>
    </row>
    <row r="39" ht="18.75" customHeight="1" spans="1:20">
      <c r="A39" s="10">
        <v>33</v>
      </c>
      <c r="B39" s="18" t="s">
        <v>103</v>
      </c>
      <c r="C39" s="12" t="s">
        <v>104</v>
      </c>
      <c r="D39" s="15" t="s">
        <v>105</v>
      </c>
      <c r="E39" s="85">
        <v>308920.666666667</v>
      </c>
      <c r="F39" s="85"/>
      <c r="G39" s="220"/>
      <c r="H39" s="220">
        <v>50000</v>
      </c>
      <c r="I39" s="85"/>
      <c r="J39" s="509">
        <f t="shared" si="7"/>
        <v>358920.666666667</v>
      </c>
      <c r="K39" s="85"/>
      <c r="L39" s="85">
        <v>20000</v>
      </c>
      <c r="M39" s="85">
        <v>0</v>
      </c>
      <c r="N39" s="1081"/>
      <c r="O39" s="916">
        <v>5013.73541666668</v>
      </c>
      <c r="P39" s="85">
        <v>41754.7900250001</v>
      </c>
      <c r="Q39" s="85">
        <v>24713.6533333334</v>
      </c>
      <c r="R39" s="510">
        <f t="shared" si="4"/>
        <v>91482.1787750002</v>
      </c>
      <c r="S39" s="85">
        <v>260618.787396667</v>
      </c>
      <c r="T39" s="509">
        <f t="shared" si="5"/>
        <v>267438.487891667</v>
      </c>
    </row>
    <row r="40" ht="18.75" customHeight="1" spans="1:20">
      <c r="A40" s="10">
        <v>34</v>
      </c>
      <c r="B40" s="18" t="s">
        <v>106</v>
      </c>
      <c r="C40" s="12" t="s">
        <v>107</v>
      </c>
      <c r="D40" s="15" t="s">
        <v>108</v>
      </c>
      <c r="E40" s="676">
        <v>301910.75</v>
      </c>
      <c r="F40" s="85"/>
      <c r="G40" s="220"/>
      <c r="H40" s="220">
        <v>50000</v>
      </c>
      <c r="I40" s="85"/>
      <c r="J40" s="509">
        <f t="shared" si="7"/>
        <v>351910.75</v>
      </c>
      <c r="K40" s="85"/>
      <c r="L40" s="686">
        <v>50000</v>
      </c>
      <c r="M40" s="686">
        <v>45833.33</v>
      </c>
      <c r="N40" s="1082">
        <v>50000</v>
      </c>
      <c r="O40" s="916">
        <v>4909.11041666668</v>
      </c>
      <c r="P40" s="686">
        <v>40612.780325</v>
      </c>
      <c r="Q40" s="687">
        <v>24152.86</v>
      </c>
      <c r="R40" s="510">
        <f t="shared" si="4"/>
        <v>215508.080741667</v>
      </c>
      <c r="S40" s="85">
        <v>129524.411783334</v>
      </c>
      <c r="T40" s="509">
        <f t="shared" si="5"/>
        <v>136402.669258333</v>
      </c>
    </row>
    <row r="41" s="1" customFormat="1" customHeight="1" spans="1:20">
      <c r="A41" s="10">
        <v>35</v>
      </c>
      <c r="B41" s="18" t="s">
        <v>109</v>
      </c>
      <c r="C41" s="12" t="s">
        <v>110</v>
      </c>
      <c r="D41" s="15" t="s">
        <v>111</v>
      </c>
      <c r="E41" s="85">
        <v>294900.833333334</v>
      </c>
      <c r="F41" s="85"/>
      <c r="G41" s="220"/>
      <c r="H41" s="220">
        <f t="shared" ref="H41:H46" si="8">50000</f>
        <v>50000</v>
      </c>
      <c r="I41" s="85"/>
      <c r="J41" s="509">
        <f t="shared" si="7"/>
        <v>344900.833333334</v>
      </c>
      <c r="K41" s="85"/>
      <c r="L41" s="686">
        <v>10000</v>
      </c>
      <c r="M41" s="686">
        <v>66666.67</v>
      </c>
      <c r="N41" s="686"/>
      <c r="O41" s="833">
        <v>4804.48541666668</v>
      </c>
      <c r="P41" s="686">
        <v>39470.7706250001</v>
      </c>
      <c r="Q41" s="686">
        <v>23592.0666666667</v>
      </c>
      <c r="R41" s="510">
        <f t="shared" si="4"/>
        <v>144533.992708333</v>
      </c>
      <c r="S41" s="85">
        <v>260886.273066667</v>
      </c>
      <c r="T41" s="509">
        <f t="shared" si="5"/>
        <v>200366.840625001</v>
      </c>
    </row>
    <row r="42" s="1" customFormat="1" customHeight="1" spans="1:20">
      <c r="A42" s="10">
        <v>36</v>
      </c>
      <c r="B42" s="18" t="s">
        <v>112</v>
      </c>
      <c r="C42" s="12" t="s">
        <v>113</v>
      </c>
      <c r="D42" s="15" t="s">
        <v>111</v>
      </c>
      <c r="E42" s="85">
        <v>294900.833333334</v>
      </c>
      <c r="F42" s="85"/>
      <c r="G42" s="220"/>
      <c r="H42" s="220">
        <f t="shared" si="8"/>
        <v>50000</v>
      </c>
      <c r="I42" s="85"/>
      <c r="J42" s="509">
        <f t="shared" si="7"/>
        <v>344900.833333334</v>
      </c>
      <c r="K42" s="85"/>
      <c r="L42" s="686"/>
      <c r="M42" s="686"/>
      <c r="N42" s="686">
        <v>70000</v>
      </c>
      <c r="O42" s="833"/>
      <c r="P42" s="261">
        <v>40335.5780000001</v>
      </c>
      <c r="Q42" s="261">
        <v>23592.0666666667</v>
      </c>
      <c r="R42" s="510">
        <f t="shared" si="4"/>
        <v>133927.644666667</v>
      </c>
      <c r="S42" s="85">
        <v>204796.556586667</v>
      </c>
      <c r="T42" s="509">
        <f t="shared" si="5"/>
        <v>210973.188666667</v>
      </c>
    </row>
    <row r="43" s="1" customFormat="1" customHeight="1" spans="1:20">
      <c r="A43" s="10">
        <v>37</v>
      </c>
      <c r="B43" s="18" t="s">
        <v>114</v>
      </c>
      <c r="C43" s="12" t="s">
        <v>113</v>
      </c>
      <c r="D43" s="15" t="s">
        <v>111</v>
      </c>
      <c r="E43" s="85">
        <v>294900.833333334</v>
      </c>
      <c r="F43" s="85"/>
      <c r="G43" s="220"/>
      <c r="H43" s="220">
        <f t="shared" si="8"/>
        <v>50000</v>
      </c>
      <c r="I43" s="85"/>
      <c r="J43" s="509">
        <f t="shared" si="7"/>
        <v>344900.833333334</v>
      </c>
      <c r="K43" s="85"/>
      <c r="L43" s="686"/>
      <c r="M43" s="686"/>
      <c r="N43" s="686"/>
      <c r="O43" s="833"/>
      <c r="P43" s="261">
        <v>40335.5780000001</v>
      </c>
      <c r="Q43" s="261">
        <v>23592.0666666667</v>
      </c>
      <c r="R43" s="510">
        <f t="shared" si="4"/>
        <v>63927.6446666668</v>
      </c>
      <c r="S43" s="85">
        <v>274796.556586667</v>
      </c>
      <c r="T43" s="509">
        <f t="shared" si="5"/>
        <v>280973.188666667</v>
      </c>
    </row>
    <row r="44" s="1" customFormat="1" customHeight="1" spans="1:20">
      <c r="A44" s="10">
        <v>38</v>
      </c>
      <c r="B44" s="18" t="s">
        <v>115</v>
      </c>
      <c r="C44" s="12" t="s">
        <v>116</v>
      </c>
      <c r="D44" s="15" t="s">
        <v>111</v>
      </c>
      <c r="E44" s="85">
        <v>294900.833333334</v>
      </c>
      <c r="F44" s="85"/>
      <c r="G44" s="220"/>
      <c r="H44" s="220">
        <f t="shared" si="8"/>
        <v>50000</v>
      </c>
      <c r="I44" s="85"/>
      <c r="J44" s="509">
        <f t="shared" si="7"/>
        <v>344900.833333334</v>
      </c>
      <c r="K44" s="85"/>
      <c r="L44" s="686">
        <v>20000</v>
      </c>
      <c r="M44" s="686"/>
      <c r="N44" s="686"/>
      <c r="O44" s="833"/>
      <c r="P44" s="261">
        <v>40335.5780000001</v>
      </c>
      <c r="Q44" s="261">
        <v>23592.0666666667</v>
      </c>
      <c r="R44" s="510">
        <f t="shared" si="4"/>
        <v>83927.6446666668</v>
      </c>
      <c r="S44" s="85">
        <v>254796.556586667</v>
      </c>
      <c r="T44" s="509">
        <f t="shared" si="5"/>
        <v>260973.188666667</v>
      </c>
    </row>
    <row r="45" s="1" customFormat="1" customHeight="1" spans="1:20">
      <c r="A45" s="10">
        <v>39</v>
      </c>
      <c r="B45" s="18" t="s">
        <v>117</v>
      </c>
      <c r="C45" s="12" t="s">
        <v>113</v>
      </c>
      <c r="D45" s="15" t="s">
        <v>111</v>
      </c>
      <c r="E45" s="85">
        <v>294900.833333334</v>
      </c>
      <c r="F45" s="85"/>
      <c r="G45" s="220"/>
      <c r="H45" s="220">
        <f t="shared" si="8"/>
        <v>50000</v>
      </c>
      <c r="I45" s="85"/>
      <c r="J45" s="509">
        <f t="shared" si="7"/>
        <v>344900.833333334</v>
      </c>
      <c r="K45" s="85"/>
      <c r="L45" s="686">
        <v>20000</v>
      </c>
      <c r="M45" s="686">
        <v>150000</v>
      </c>
      <c r="N45" s="686"/>
      <c r="O45" s="833"/>
      <c r="P45" s="261">
        <v>40335.5780000001</v>
      </c>
      <c r="Q45" s="261">
        <v>23592.0666666667</v>
      </c>
      <c r="R45" s="510">
        <f t="shared" si="4"/>
        <v>233927.644666667</v>
      </c>
      <c r="S45" s="85">
        <v>104796.556586667</v>
      </c>
      <c r="T45" s="509">
        <f t="shared" si="5"/>
        <v>110973.188666667</v>
      </c>
    </row>
    <row r="46" s="1" customFormat="1" customHeight="1" spans="1:20">
      <c r="A46" s="10">
        <v>40</v>
      </c>
      <c r="B46" s="18" t="s">
        <v>118</v>
      </c>
      <c r="C46" s="12" t="s">
        <v>119</v>
      </c>
      <c r="D46" s="15" t="s">
        <v>111</v>
      </c>
      <c r="E46" s="85">
        <v>294900.833333334</v>
      </c>
      <c r="F46" s="85"/>
      <c r="G46" s="220"/>
      <c r="H46" s="220">
        <f t="shared" si="8"/>
        <v>50000</v>
      </c>
      <c r="I46" s="85"/>
      <c r="J46" s="509">
        <f t="shared" si="7"/>
        <v>344900.833333334</v>
      </c>
      <c r="K46" s="85"/>
      <c r="L46" s="686"/>
      <c r="M46" s="686"/>
      <c r="N46" s="686"/>
      <c r="O46" s="4"/>
      <c r="P46" s="686">
        <v>40335.5780000001</v>
      </c>
      <c r="Q46" s="686">
        <v>23592.0666666667</v>
      </c>
      <c r="R46" s="510">
        <f t="shared" si="4"/>
        <v>63927.6446666668</v>
      </c>
      <c r="S46" s="85">
        <v>274797.322026667</v>
      </c>
      <c r="T46" s="509">
        <f t="shared" si="5"/>
        <v>280973.188666667</v>
      </c>
    </row>
    <row r="47" ht="26.25" customHeight="1" spans="1:20">
      <c r="A47" s="10"/>
      <c r="B47" s="20" t="s">
        <v>120</v>
      </c>
      <c r="C47" s="21">
        <v>40</v>
      </c>
      <c r="D47" s="15"/>
      <c r="E47" s="221">
        <f>SUM(E7:E46)</f>
        <v>20529917.5</v>
      </c>
      <c r="F47" s="221">
        <f t="shared" ref="F47:T47" si="9">SUM(F7:F46)</f>
        <v>67298.6666666642</v>
      </c>
      <c r="G47" s="221">
        <f t="shared" si="9"/>
        <v>1590000</v>
      </c>
      <c r="H47" s="221">
        <f t="shared" si="9"/>
        <v>1820000</v>
      </c>
      <c r="I47" s="221">
        <f t="shared" si="9"/>
        <v>2025235</v>
      </c>
      <c r="J47" s="509">
        <f t="shared" si="7"/>
        <v>26032451.1666667</v>
      </c>
      <c r="K47" s="221">
        <f t="shared" si="9"/>
        <v>0</v>
      </c>
      <c r="L47" s="221">
        <f t="shared" si="9"/>
        <v>1270000</v>
      </c>
      <c r="M47" s="221">
        <f t="shared" si="9"/>
        <v>1658174.09</v>
      </c>
      <c r="N47" s="221">
        <f t="shared" si="9"/>
        <v>320000</v>
      </c>
      <c r="O47" s="221">
        <f t="shared" si="9"/>
        <v>148222.560416667</v>
      </c>
      <c r="P47" s="221">
        <f t="shared" si="9"/>
        <v>3756152.04195</v>
      </c>
      <c r="Q47" s="221">
        <f t="shared" si="9"/>
        <v>1412277.89333333</v>
      </c>
      <c r="R47" s="221">
        <f t="shared" si="9"/>
        <v>8564826.5857</v>
      </c>
      <c r="S47" s="221">
        <v>17180156.9876167</v>
      </c>
      <c r="T47" s="221">
        <f t="shared" si="9"/>
        <v>17467624.5809667</v>
      </c>
    </row>
    <row r="48" ht="18.75" customHeight="1" spans="1:20">
      <c r="A48" s="10"/>
      <c r="B48" s="22"/>
      <c r="C48" s="4"/>
      <c r="D48" s="15"/>
      <c r="E48" s="221"/>
      <c r="F48" s="221"/>
      <c r="G48" s="220"/>
      <c r="H48" s="220"/>
      <c r="I48" s="221"/>
      <c r="J48" s="509">
        <f t="shared" si="7"/>
        <v>0</v>
      </c>
      <c r="K48" s="221"/>
      <c r="L48" s="221"/>
      <c r="M48" s="221"/>
      <c r="N48" s="221"/>
      <c r="O48" s="221"/>
      <c r="P48" s="221"/>
      <c r="Q48" s="221"/>
      <c r="R48" s="515"/>
      <c r="S48" s="221"/>
      <c r="T48" s="514"/>
    </row>
    <row r="49" ht="18.75" customHeight="1" spans="1:20">
      <c r="A49" s="10"/>
      <c r="B49" s="20" t="s">
        <v>121</v>
      </c>
      <c r="C49" s="4"/>
      <c r="D49" s="15"/>
      <c r="E49" s="85"/>
      <c r="F49" s="85"/>
      <c r="G49" s="220"/>
      <c r="H49" s="220"/>
      <c r="I49" s="85"/>
      <c r="J49" s="509">
        <f t="shared" si="7"/>
        <v>0</v>
      </c>
      <c r="K49" s="85"/>
      <c r="L49" s="85"/>
      <c r="M49" s="85"/>
      <c r="N49" s="85"/>
      <c r="O49" s="85"/>
      <c r="P49" s="85"/>
      <c r="Q49" s="85"/>
      <c r="R49" s="510"/>
      <c r="S49" s="85"/>
      <c r="T49" s="509"/>
    </row>
    <row r="50" ht="18.75" customHeight="1" spans="1:20">
      <c r="A50" s="10">
        <v>1</v>
      </c>
      <c r="B50" s="18" t="s">
        <v>122</v>
      </c>
      <c r="C50" s="4" t="s">
        <v>123</v>
      </c>
      <c r="D50" s="10" t="s">
        <v>124</v>
      </c>
      <c r="E50" s="85">
        <v>1747106.41666666</v>
      </c>
      <c r="F50" s="85"/>
      <c r="G50" s="220"/>
      <c r="H50" s="220">
        <f>100000</f>
        <v>100000</v>
      </c>
      <c r="I50" s="85"/>
      <c r="J50" s="509">
        <f t="shared" si="7"/>
        <v>1847106.41666666</v>
      </c>
      <c r="K50" s="85">
        <f>'JANUARY 2026'!F251</f>
        <v>0</v>
      </c>
      <c r="L50" s="85">
        <f>300000</f>
        <v>300000</v>
      </c>
      <c r="M50" s="85">
        <f>458333.33</f>
        <v>458333.33</v>
      </c>
      <c r="N50" s="85"/>
      <c r="O50" s="85"/>
      <c r="P50" s="85">
        <v>311040.959699999</v>
      </c>
      <c r="Q50" s="85">
        <v>139768.513333333</v>
      </c>
      <c r="R50" s="510">
        <f>P50+O50+M50+N50+L50+K50+Q50</f>
        <v>1209142.80303333</v>
      </c>
      <c r="S50" s="85">
        <v>642529.02922666</v>
      </c>
      <c r="T50" s="509">
        <f>J50-R50</f>
        <v>637963.613633328</v>
      </c>
    </row>
    <row r="51" customHeight="1" spans="1:20">
      <c r="A51" s="10">
        <v>2</v>
      </c>
      <c r="B51" s="11" t="s">
        <v>125</v>
      </c>
      <c r="C51" s="12" t="s">
        <v>126</v>
      </c>
      <c r="D51" s="15" t="s">
        <v>49</v>
      </c>
      <c r="E51" s="85">
        <v>722595.5</v>
      </c>
      <c r="F51" s="85"/>
      <c r="G51" s="220"/>
      <c r="H51" s="220">
        <f>80000</f>
        <v>80000</v>
      </c>
      <c r="I51" s="85">
        <v>0</v>
      </c>
      <c r="J51" s="509">
        <f t="shared" si="7"/>
        <v>802595.5</v>
      </c>
      <c r="K51" s="85"/>
      <c r="L51" s="85">
        <v>50000</v>
      </c>
      <c r="M51" s="85"/>
      <c r="N51" s="85"/>
      <c r="O51" s="85"/>
      <c r="P51" s="85">
        <v>116561.8148</v>
      </c>
      <c r="Q51" s="85">
        <v>57807.64</v>
      </c>
      <c r="R51" s="510">
        <f t="shared" ref="R51:R56" si="10">P51+O51+M51+N51+L51+K51+Q51</f>
        <v>224369.4548</v>
      </c>
      <c r="S51" s="85">
        <v>556856.030426666</v>
      </c>
      <c r="T51" s="509">
        <f t="shared" ref="T51:T56" si="11">J51-R51</f>
        <v>578226.0452</v>
      </c>
    </row>
    <row r="52" ht="18.75" customHeight="1" spans="1:20">
      <c r="A52" s="10">
        <v>3</v>
      </c>
      <c r="B52" s="18" t="s">
        <v>127</v>
      </c>
      <c r="C52" s="4" t="s">
        <v>128</v>
      </c>
      <c r="D52" s="10" t="s">
        <v>77</v>
      </c>
      <c r="E52" s="85">
        <v>390135.833333334</v>
      </c>
      <c r="F52" s="85"/>
      <c r="G52" s="220"/>
      <c r="H52" s="220">
        <f>60000</f>
        <v>60000</v>
      </c>
      <c r="I52" s="85"/>
      <c r="J52" s="509">
        <f t="shared" si="7"/>
        <v>450135.833333334</v>
      </c>
      <c r="K52" s="85"/>
      <c r="L52" s="85">
        <f>20000</f>
        <v>20000</v>
      </c>
      <c r="M52" s="85">
        <v>73333.33</v>
      </c>
      <c r="N52" s="85">
        <v>20000</v>
      </c>
      <c r="O52" s="85">
        <v>6154.27916666668</v>
      </c>
      <c r="P52" s="85">
        <v>56798.7237500001</v>
      </c>
      <c r="Q52" s="85">
        <v>31210.8666666667</v>
      </c>
      <c r="R52" s="510">
        <f t="shared" si="10"/>
        <v>207497.199583333</v>
      </c>
      <c r="S52" s="85">
        <v>233782.864723333</v>
      </c>
      <c r="T52" s="509">
        <f t="shared" si="11"/>
        <v>242638.633750001</v>
      </c>
    </row>
    <row r="53" ht="18.75" customHeight="1" spans="1:20">
      <c r="A53" s="10">
        <v>4</v>
      </c>
      <c r="B53" s="11" t="s">
        <v>129</v>
      </c>
      <c r="C53" s="4" t="s">
        <v>130</v>
      </c>
      <c r="D53" s="15" t="s">
        <v>131</v>
      </c>
      <c r="E53" s="220">
        <v>454993.583333333</v>
      </c>
      <c r="F53" s="85"/>
      <c r="G53" s="220"/>
      <c r="H53" s="220">
        <f>60000</f>
        <v>60000</v>
      </c>
      <c r="I53" s="85"/>
      <c r="J53" s="509">
        <f t="shared" si="7"/>
        <v>514993.583333333</v>
      </c>
      <c r="K53" s="85"/>
      <c r="L53" s="85">
        <f>10000</f>
        <v>10000</v>
      </c>
      <c r="M53" s="85"/>
      <c r="N53" s="85"/>
      <c r="O53" s="85"/>
      <c r="P53" s="85">
        <v>68646.9374</v>
      </c>
      <c r="Q53" s="85">
        <v>36399.4866666666</v>
      </c>
      <c r="R53" s="510">
        <f t="shared" si="10"/>
        <v>115046.424066667</v>
      </c>
      <c r="S53" s="85">
        <v>389088.797573333</v>
      </c>
      <c r="T53" s="509">
        <f t="shared" si="11"/>
        <v>399947.159266666</v>
      </c>
    </row>
    <row r="54" s="1" customFormat="1" customHeight="1" spans="1:20">
      <c r="A54" s="10">
        <v>5</v>
      </c>
      <c r="B54" s="18" t="s">
        <v>132</v>
      </c>
      <c r="C54" s="4" t="s">
        <v>128</v>
      </c>
      <c r="D54" s="15" t="s">
        <v>99</v>
      </c>
      <c r="E54" s="85">
        <v>338711.666666667</v>
      </c>
      <c r="F54" s="85"/>
      <c r="G54" s="220"/>
      <c r="H54" s="220">
        <v>60000</v>
      </c>
      <c r="I54" s="85"/>
      <c r="J54" s="509">
        <f t="shared" si="7"/>
        <v>398711.666666667</v>
      </c>
      <c r="K54" s="85"/>
      <c r="L54" s="686">
        <f>100000</f>
        <v>100000</v>
      </c>
      <c r="M54" s="686"/>
      <c r="N54" s="686"/>
      <c r="O54" s="4">
        <v>5443.33541666668</v>
      </c>
      <c r="P54" s="686">
        <v>48410.8516250001</v>
      </c>
      <c r="Q54" s="687">
        <v>27096.9333333334</v>
      </c>
      <c r="R54" s="510">
        <f t="shared" si="10"/>
        <v>180951.120375</v>
      </c>
      <c r="S54" s="85">
        <v>210104.9428</v>
      </c>
      <c r="T54" s="509">
        <f t="shared" si="11"/>
        <v>217760.546291667</v>
      </c>
    </row>
    <row r="55" ht="18.75" customHeight="1" spans="1:20">
      <c r="A55" s="10">
        <v>6</v>
      </c>
      <c r="B55" s="11" t="s">
        <v>133</v>
      </c>
      <c r="C55" s="4" t="s">
        <v>134</v>
      </c>
      <c r="D55" s="15" t="s">
        <v>88</v>
      </c>
      <c r="E55" s="676">
        <v>347016.166666666</v>
      </c>
      <c r="F55" s="85"/>
      <c r="G55" s="220"/>
      <c r="H55" s="220">
        <v>60000</v>
      </c>
      <c r="I55" s="85"/>
      <c r="J55" s="509">
        <f t="shared" si="7"/>
        <v>407016.166666666</v>
      </c>
      <c r="K55" s="85"/>
      <c r="L55" s="686">
        <v>20000</v>
      </c>
      <c r="M55" s="686">
        <v>98878.69</v>
      </c>
      <c r="N55" s="686"/>
      <c r="O55" s="833">
        <v>5566.86458333332</v>
      </c>
      <c r="P55" s="686">
        <v>49763.8415749999</v>
      </c>
      <c r="Q55" s="687">
        <v>27761.2933333333</v>
      </c>
      <c r="R55" s="510">
        <f t="shared" si="10"/>
        <v>201970.689491667</v>
      </c>
      <c r="S55" s="85">
        <v>197276.01245</v>
      </c>
      <c r="T55" s="509">
        <f t="shared" si="11"/>
        <v>205045.477174999</v>
      </c>
    </row>
    <row r="56" s="1" customFormat="1" customHeight="1" spans="1:20">
      <c r="A56" s="10">
        <v>7</v>
      </c>
      <c r="B56" s="18" t="s">
        <v>135</v>
      </c>
      <c r="C56" s="12" t="s">
        <v>136</v>
      </c>
      <c r="D56" s="15" t="s">
        <v>111</v>
      </c>
      <c r="E56" s="85">
        <v>294900.833333334</v>
      </c>
      <c r="F56" s="85"/>
      <c r="G56" s="220"/>
      <c r="H56" s="220">
        <v>50000</v>
      </c>
      <c r="I56" s="85"/>
      <c r="J56" s="509">
        <f t="shared" si="7"/>
        <v>344900.833333334</v>
      </c>
      <c r="K56" s="85"/>
      <c r="L56" s="686">
        <v>102000</v>
      </c>
      <c r="M56" s="686"/>
      <c r="N56" s="686"/>
      <c r="O56" s="4"/>
      <c r="P56" s="686">
        <v>40335.5780000001</v>
      </c>
      <c r="Q56" s="687">
        <v>23592.0666666667</v>
      </c>
      <c r="R56" s="510">
        <f t="shared" si="10"/>
        <v>165927.644666667</v>
      </c>
      <c r="S56" s="85">
        <v>274796.556586667</v>
      </c>
      <c r="T56" s="509">
        <f t="shared" si="11"/>
        <v>178973.188666667</v>
      </c>
    </row>
    <row r="57" ht="19.5" customHeight="1" spans="1:20">
      <c r="A57" s="10"/>
      <c r="B57" s="14"/>
      <c r="C57" s="21">
        <v>7</v>
      </c>
      <c r="D57" s="10"/>
      <c r="E57" s="221">
        <f>SUM(E50:E56)</f>
        <v>4295459.99999999</v>
      </c>
      <c r="F57" s="221">
        <f t="shared" ref="F57:T57" si="12">SUM(F50:F56)</f>
        <v>0</v>
      </c>
      <c r="G57" s="221">
        <f t="shared" si="12"/>
        <v>0</v>
      </c>
      <c r="H57" s="221">
        <f t="shared" si="12"/>
        <v>470000</v>
      </c>
      <c r="I57" s="221">
        <f t="shared" si="12"/>
        <v>0</v>
      </c>
      <c r="J57" s="509">
        <f t="shared" si="7"/>
        <v>4765459.99999999</v>
      </c>
      <c r="K57" s="221">
        <f t="shared" si="12"/>
        <v>0</v>
      </c>
      <c r="L57" s="221">
        <f t="shared" si="12"/>
        <v>602000</v>
      </c>
      <c r="M57" s="221">
        <f t="shared" si="12"/>
        <v>630545.35</v>
      </c>
      <c r="N57" s="221">
        <f t="shared" si="12"/>
        <v>20000</v>
      </c>
      <c r="O57" s="221">
        <f t="shared" si="12"/>
        <v>17164.4791666667</v>
      </c>
      <c r="P57" s="221">
        <f t="shared" si="12"/>
        <v>691558.706849999</v>
      </c>
      <c r="Q57" s="221">
        <f t="shared" si="12"/>
        <v>343636.8</v>
      </c>
      <c r="R57" s="221">
        <f t="shared" si="12"/>
        <v>2304905.33601666</v>
      </c>
      <c r="S57" s="221">
        <v>2504434.23378666</v>
      </c>
      <c r="T57" s="221">
        <f t="shared" si="12"/>
        <v>2460554.66398333</v>
      </c>
    </row>
    <row r="58" customHeight="1" spans="1:20">
      <c r="A58" s="10"/>
      <c r="B58" s="14"/>
      <c r="C58" s="4"/>
      <c r="D58" s="10"/>
      <c r="E58" s="221"/>
      <c r="F58" s="221"/>
      <c r="G58" s="220"/>
      <c r="H58" s="220"/>
      <c r="I58" s="221"/>
      <c r="J58" s="509">
        <f t="shared" si="7"/>
        <v>0</v>
      </c>
      <c r="K58" s="221"/>
      <c r="L58" s="221"/>
      <c r="M58" s="221"/>
      <c r="N58" s="221"/>
      <c r="O58" s="221"/>
      <c r="P58" s="221"/>
      <c r="Q58" s="221"/>
      <c r="R58" s="510"/>
      <c r="S58" s="85"/>
      <c r="T58" s="509"/>
    </row>
    <row r="59" customHeight="1" spans="1:20">
      <c r="A59" s="10"/>
      <c r="B59" s="23" t="s">
        <v>137</v>
      </c>
      <c r="C59" s="5"/>
      <c r="D59" s="24"/>
      <c r="E59" s="221"/>
      <c r="F59" s="221"/>
      <c r="G59" s="220"/>
      <c r="H59" s="220"/>
      <c r="I59" s="85"/>
      <c r="J59" s="509">
        <f t="shared" si="7"/>
        <v>0</v>
      </c>
      <c r="K59" s="85"/>
      <c r="L59" s="85"/>
      <c r="M59" s="85"/>
      <c r="N59" s="85"/>
      <c r="O59" s="85"/>
      <c r="P59" s="85"/>
      <c r="Q59" s="85"/>
      <c r="R59" s="510"/>
      <c r="S59" s="85"/>
      <c r="T59" s="509"/>
    </row>
    <row r="60" customHeight="1" spans="1:20">
      <c r="A60" s="10">
        <v>1</v>
      </c>
      <c r="B60" s="11" t="s">
        <v>138</v>
      </c>
      <c r="C60" s="4" t="s">
        <v>139</v>
      </c>
      <c r="D60" s="10" t="s">
        <v>140</v>
      </c>
      <c r="E60" s="85">
        <v>1697359.33333333</v>
      </c>
      <c r="F60" s="85"/>
      <c r="G60" s="220">
        <f>200000</f>
        <v>200000</v>
      </c>
      <c r="H60" s="220"/>
      <c r="I60" s="85"/>
      <c r="J60" s="509">
        <f t="shared" si="7"/>
        <v>1897359.33333333</v>
      </c>
      <c r="K60" s="85"/>
      <c r="L60" s="85">
        <f>80000+23000+300000</f>
        <v>403000</v>
      </c>
      <c r="M60" s="85">
        <f>246905.96</f>
        <v>246905.96</v>
      </c>
      <c r="N60" s="85">
        <v>150000</v>
      </c>
      <c r="O60" s="85"/>
      <c r="P60" s="85">
        <v>322429.823199999</v>
      </c>
      <c r="Q60" s="85">
        <v>135788.746666666</v>
      </c>
      <c r="R60" s="510">
        <f>P60+O60+M60+N60+L60+K60+Q60</f>
        <v>1258124.52986667</v>
      </c>
      <c r="S60" s="85">
        <v>596394.42101333</v>
      </c>
      <c r="T60" s="509">
        <f>J60-R60</f>
        <v>639234.803466665</v>
      </c>
    </row>
    <row r="61" customHeight="1" spans="1:20">
      <c r="A61" s="10">
        <v>2</v>
      </c>
      <c r="B61" s="11" t="s">
        <v>141</v>
      </c>
      <c r="C61" s="4" t="s">
        <v>142</v>
      </c>
      <c r="D61" s="10" t="s">
        <v>38</v>
      </c>
      <c r="E61" s="85">
        <v>744477</v>
      </c>
      <c r="F61" s="85"/>
      <c r="G61" s="220">
        <f t="shared" ref="G61:G65" si="13">160000</f>
        <v>160000</v>
      </c>
      <c r="H61" s="220"/>
      <c r="I61" s="85"/>
      <c r="J61" s="509">
        <f t="shared" si="7"/>
        <v>904477</v>
      </c>
      <c r="K61" s="85"/>
      <c r="L61" s="85">
        <f>30000</f>
        <v>30000</v>
      </c>
      <c r="M61" s="85">
        <v>223059.88</v>
      </c>
      <c r="N61" s="85"/>
      <c r="O61" s="85"/>
      <c r="P61" s="85">
        <v>134585.3912</v>
      </c>
      <c r="Q61" s="85">
        <v>59558.16</v>
      </c>
      <c r="R61" s="510">
        <f t="shared" ref="R61:R71" si="14">P61+O61+M61+N61+L61+K61+Q61</f>
        <v>447203.4312</v>
      </c>
      <c r="S61" s="85">
        <v>450967.876053333</v>
      </c>
      <c r="T61" s="509">
        <f t="shared" ref="T61:T71" si="15">J61-R61</f>
        <v>457273.5688</v>
      </c>
    </row>
    <row r="62" customHeight="1" spans="1:20">
      <c r="A62" s="10">
        <v>3</v>
      </c>
      <c r="B62" s="11" t="s">
        <v>143</v>
      </c>
      <c r="C62" s="4" t="s">
        <v>142</v>
      </c>
      <c r="D62" s="10" t="s">
        <v>38</v>
      </c>
      <c r="E62" s="85">
        <v>744477</v>
      </c>
      <c r="F62" s="85"/>
      <c r="G62" s="220">
        <f>140000+20000</f>
        <v>160000</v>
      </c>
      <c r="H62" s="220"/>
      <c r="I62" s="85">
        <v>0</v>
      </c>
      <c r="J62" s="509">
        <f t="shared" si="7"/>
        <v>904477</v>
      </c>
      <c r="K62" s="85"/>
      <c r="L62" s="85"/>
      <c r="M62" s="85"/>
      <c r="N62" s="85">
        <v>50000</v>
      </c>
      <c r="O62" s="85">
        <v>11475.2625</v>
      </c>
      <c r="P62" s="85">
        <v>132519.84395</v>
      </c>
      <c r="Q62" s="85">
        <v>59558.16</v>
      </c>
      <c r="R62" s="510">
        <f t="shared" si="14"/>
        <v>253553.26645</v>
      </c>
      <c r="S62" s="85">
        <v>644755.743953333</v>
      </c>
      <c r="T62" s="509">
        <f t="shared" si="15"/>
        <v>650923.73355</v>
      </c>
    </row>
    <row r="63" customHeight="1" spans="1:20">
      <c r="A63" s="10">
        <v>4</v>
      </c>
      <c r="B63" s="11" t="s">
        <v>144</v>
      </c>
      <c r="C63" s="4" t="s">
        <v>142</v>
      </c>
      <c r="D63" s="10" t="s">
        <v>38</v>
      </c>
      <c r="E63" s="85">
        <v>744477</v>
      </c>
      <c r="F63" s="85"/>
      <c r="G63" s="220">
        <f>140000+20000</f>
        <v>160000</v>
      </c>
      <c r="H63" s="220"/>
      <c r="I63" s="85"/>
      <c r="J63" s="509">
        <f t="shared" si="7"/>
        <v>904477</v>
      </c>
      <c r="K63" s="85"/>
      <c r="L63" s="85">
        <f>15000</f>
        <v>15000</v>
      </c>
      <c r="M63" s="85">
        <v>198731.33</v>
      </c>
      <c r="N63" s="85"/>
      <c r="O63" s="85"/>
      <c r="P63" s="85">
        <v>134585.3912</v>
      </c>
      <c r="Q63" s="85">
        <v>59558.16</v>
      </c>
      <c r="R63" s="510">
        <f t="shared" si="14"/>
        <v>407874.8812</v>
      </c>
      <c r="S63" s="85">
        <v>474030.594213333</v>
      </c>
      <c r="T63" s="509">
        <f t="shared" si="15"/>
        <v>496602.1188</v>
      </c>
    </row>
    <row r="64" customHeight="1" spans="1:20">
      <c r="A64" s="10">
        <v>5</v>
      </c>
      <c r="B64" s="14" t="s">
        <v>145</v>
      </c>
      <c r="C64" s="4" t="s">
        <v>142</v>
      </c>
      <c r="D64" s="10" t="s">
        <v>49</v>
      </c>
      <c r="E64" s="85">
        <v>722595.5</v>
      </c>
      <c r="F64" s="85"/>
      <c r="G64" s="220">
        <f t="shared" si="13"/>
        <v>160000</v>
      </c>
      <c r="H64" s="220"/>
      <c r="I64" s="85"/>
      <c r="J64" s="509">
        <f t="shared" si="7"/>
        <v>882595.5</v>
      </c>
      <c r="K64" s="85"/>
      <c r="L64" s="85"/>
      <c r="M64" s="85"/>
      <c r="N64" s="85">
        <v>20000</v>
      </c>
      <c r="O64" s="85">
        <v>0</v>
      </c>
      <c r="P64" s="85">
        <v>130961.8148</v>
      </c>
      <c r="Q64" s="85">
        <v>57807.64</v>
      </c>
      <c r="R64" s="510">
        <f t="shared" si="14"/>
        <v>208769.4548</v>
      </c>
      <c r="S64" s="85">
        <v>651496.030426666</v>
      </c>
      <c r="T64" s="509">
        <f t="shared" si="15"/>
        <v>673826.0452</v>
      </c>
    </row>
    <row r="65" customFormat="1" customHeight="1" spans="1:20">
      <c r="A65" s="10">
        <v>6</v>
      </c>
      <c r="B65" s="14" t="s">
        <v>146</v>
      </c>
      <c r="C65" s="4" t="s">
        <v>142</v>
      </c>
      <c r="D65" s="10" t="s">
        <v>49</v>
      </c>
      <c r="E65" s="85">
        <v>722595.5</v>
      </c>
      <c r="F65" s="85"/>
      <c r="G65" s="220">
        <f t="shared" si="13"/>
        <v>160000</v>
      </c>
      <c r="H65" s="220"/>
      <c r="I65" s="85"/>
      <c r="J65" s="509">
        <f t="shared" si="7"/>
        <v>882595.5</v>
      </c>
      <c r="K65" s="85"/>
      <c r="L65" s="85">
        <v>102000</v>
      </c>
      <c r="M65" s="85"/>
      <c r="N65" s="85"/>
      <c r="O65" s="85">
        <v>0</v>
      </c>
      <c r="P65" s="85">
        <v>130961.8148</v>
      </c>
      <c r="Q65" s="85">
        <v>57807.64</v>
      </c>
      <c r="R65" s="510">
        <f t="shared" si="14"/>
        <v>290769.4548</v>
      </c>
      <c r="S65" s="85">
        <v>671496.030426666</v>
      </c>
      <c r="T65" s="509">
        <f t="shared" si="15"/>
        <v>591826.0452</v>
      </c>
    </row>
    <row r="66" s="1" customFormat="1" customHeight="1" spans="1:20">
      <c r="A66" s="10">
        <v>7</v>
      </c>
      <c r="B66" s="18" t="s">
        <v>147</v>
      </c>
      <c r="C66" s="4" t="s">
        <v>148</v>
      </c>
      <c r="D66" s="15" t="s">
        <v>131</v>
      </c>
      <c r="E66" s="220">
        <v>454993.583333333</v>
      </c>
      <c r="F66" s="85"/>
      <c r="G66" s="220">
        <f>110000</f>
        <v>110000</v>
      </c>
      <c r="H66" s="220"/>
      <c r="I66" s="85"/>
      <c r="J66" s="509">
        <f t="shared" si="7"/>
        <v>564993.583333333</v>
      </c>
      <c r="K66" s="85"/>
      <c r="L66" s="85"/>
      <c r="M66" s="85"/>
      <c r="N66" s="85">
        <v>20000</v>
      </c>
      <c r="O66" s="85"/>
      <c r="P66" s="85">
        <v>77646.9374</v>
      </c>
      <c r="Q66" s="85">
        <v>36399.4866666666</v>
      </c>
      <c r="R66" s="510">
        <f t="shared" si="14"/>
        <v>134046.424066667</v>
      </c>
      <c r="S66" s="85">
        <v>418153.287573333</v>
      </c>
      <c r="T66" s="509">
        <f t="shared" si="15"/>
        <v>430947.159266666</v>
      </c>
    </row>
    <row r="67" customHeight="1" spans="1:20">
      <c r="A67" s="10">
        <v>8</v>
      </c>
      <c r="B67" s="11" t="s">
        <v>149</v>
      </c>
      <c r="C67" s="4" t="s">
        <v>150</v>
      </c>
      <c r="D67" s="10" t="s">
        <v>151</v>
      </c>
      <c r="E67" s="85">
        <v>399131.166666667</v>
      </c>
      <c r="F67" s="85"/>
      <c r="G67" s="220">
        <v>100000</v>
      </c>
      <c r="H67" s="220"/>
      <c r="I67" s="85"/>
      <c r="J67" s="509">
        <f t="shared" si="7"/>
        <v>499131.166666667</v>
      </c>
      <c r="K67" s="85"/>
      <c r="L67" s="85"/>
      <c r="M67" s="85"/>
      <c r="N67" s="85"/>
      <c r="O67" s="85"/>
      <c r="P67" s="85">
        <v>66596.1212000001</v>
      </c>
      <c r="Q67" s="85">
        <v>31930.4933333333</v>
      </c>
      <c r="R67" s="510">
        <f t="shared" si="14"/>
        <v>98526.6145333334</v>
      </c>
      <c r="S67" s="85">
        <v>392144.7064</v>
      </c>
      <c r="T67" s="509">
        <f t="shared" si="15"/>
        <v>400604.552133334</v>
      </c>
    </row>
    <row r="68" s="1" customFormat="1" customHeight="1" spans="1:20">
      <c r="A68" s="10">
        <v>9</v>
      </c>
      <c r="B68" s="11" t="s">
        <v>152</v>
      </c>
      <c r="C68" s="4" t="s">
        <v>82</v>
      </c>
      <c r="D68" s="10" t="s">
        <v>74</v>
      </c>
      <c r="E68" s="85">
        <v>381140.666666666</v>
      </c>
      <c r="F68" s="85"/>
      <c r="G68" s="220">
        <f t="shared" ref="G68:G71" si="16">100000</f>
        <v>100000</v>
      </c>
      <c r="H68" s="220"/>
      <c r="I68" s="85"/>
      <c r="J68" s="509">
        <f t="shared" si="7"/>
        <v>481140.666666666</v>
      </c>
      <c r="K68" s="85"/>
      <c r="L68" s="85"/>
      <c r="M68" s="85"/>
      <c r="N68" s="85"/>
      <c r="O68" s="85"/>
      <c r="P68" s="85">
        <v>63616.8943999999</v>
      </c>
      <c r="Q68" s="85">
        <v>30491.2533333333</v>
      </c>
      <c r="R68" s="510">
        <f t="shared" si="14"/>
        <v>94108.1477333332</v>
      </c>
      <c r="S68" s="85">
        <v>378771.28832</v>
      </c>
      <c r="T68" s="509">
        <f t="shared" si="15"/>
        <v>387032.518933333</v>
      </c>
    </row>
    <row r="69" customHeight="1" spans="1:20">
      <c r="A69" s="10">
        <v>10</v>
      </c>
      <c r="B69" s="11" t="s">
        <v>153</v>
      </c>
      <c r="C69" s="4" t="s">
        <v>150</v>
      </c>
      <c r="D69" s="10" t="s">
        <v>85</v>
      </c>
      <c r="E69" s="85">
        <v>355320.666666667</v>
      </c>
      <c r="F69" s="85"/>
      <c r="G69" s="220">
        <f t="shared" si="16"/>
        <v>100000</v>
      </c>
      <c r="H69" s="220"/>
      <c r="I69" s="85"/>
      <c r="J69" s="509">
        <f t="shared" si="7"/>
        <v>455320.666666667</v>
      </c>
      <c r="K69" s="85"/>
      <c r="L69" s="85"/>
      <c r="M69" s="85"/>
      <c r="N69" s="85"/>
      <c r="O69" s="85"/>
      <c r="P69" s="85">
        <v>59341.1024000001</v>
      </c>
      <c r="Q69" s="85">
        <v>28425.6533333334</v>
      </c>
      <c r="R69" s="510">
        <f t="shared" si="14"/>
        <v>87766.7557333335</v>
      </c>
      <c r="S69" s="85">
        <v>360091.270986666</v>
      </c>
      <c r="T69" s="509">
        <f t="shared" si="15"/>
        <v>367553.910933333</v>
      </c>
    </row>
    <row r="70" customHeight="1" spans="1:20">
      <c r="A70" s="10">
        <v>11</v>
      </c>
      <c r="B70" s="11" t="s">
        <v>154</v>
      </c>
      <c r="C70" s="4" t="s">
        <v>150</v>
      </c>
      <c r="D70" s="10" t="s">
        <v>85</v>
      </c>
      <c r="E70" s="85">
        <v>355320.666666667</v>
      </c>
      <c r="F70" s="85"/>
      <c r="G70" s="220">
        <f t="shared" si="16"/>
        <v>100000</v>
      </c>
      <c r="H70" s="220"/>
      <c r="I70" s="85"/>
      <c r="J70" s="509">
        <f t="shared" ref="J70:J101" si="17">E70+F70+G70+H70+I70</f>
        <v>455320.666666667</v>
      </c>
      <c r="K70" s="85"/>
      <c r="L70" s="85"/>
      <c r="M70" s="85"/>
      <c r="N70" s="85"/>
      <c r="O70" s="85"/>
      <c r="P70" s="85">
        <v>59341.1024000001</v>
      </c>
      <c r="Q70" s="85">
        <v>28425.6533333334</v>
      </c>
      <c r="R70" s="510">
        <f t="shared" si="14"/>
        <v>87766.7557333335</v>
      </c>
      <c r="S70" s="85">
        <v>360091.270986666</v>
      </c>
      <c r="T70" s="509">
        <f t="shared" si="15"/>
        <v>367553.910933333</v>
      </c>
    </row>
    <row r="71" s="1" customFormat="1" ht="18.75" customHeight="1" spans="1:20">
      <c r="A71" s="10">
        <v>12</v>
      </c>
      <c r="B71" s="18" t="s">
        <v>155</v>
      </c>
      <c r="C71" s="4" t="s">
        <v>150</v>
      </c>
      <c r="D71" s="10" t="s">
        <v>99</v>
      </c>
      <c r="E71" s="85">
        <v>338711.666666667</v>
      </c>
      <c r="F71" s="85"/>
      <c r="G71" s="220">
        <f t="shared" si="16"/>
        <v>100000</v>
      </c>
      <c r="H71" s="220"/>
      <c r="I71" s="85"/>
      <c r="J71" s="509">
        <f t="shared" si="17"/>
        <v>438711.666666667</v>
      </c>
      <c r="K71" s="85"/>
      <c r="L71" s="85"/>
      <c r="M71" s="85"/>
      <c r="N71" s="85"/>
      <c r="O71" s="85"/>
      <c r="P71" s="85">
        <v>56590.6520000001</v>
      </c>
      <c r="Q71" s="85">
        <v>27096.9333333334</v>
      </c>
      <c r="R71" s="510">
        <f t="shared" si="14"/>
        <v>83687.5853333335</v>
      </c>
      <c r="S71" s="85">
        <v>333825.4428</v>
      </c>
      <c r="T71" s="509">
        <f t="shared" si="15"/>
        <v>355024.081333334</v>
      </c>
    </row>
    <row r="72" ht="25.5" customHeight="1" spans="1:20">
      <c r="A72" s="10"/>
      <c r="B72" s="20" t="s">
        <v>120</v>
      </c>
      <c r="C72" s="21">
        <v>12</v>
      </c>
      <c r="D72" s="21"/>
      <c r="E72" s="93">
        <f>SUM(E60:E71)</f>
        <v>7660599.75</v>
      </c>
      <c r="F72" s="93">
        <f t="shared" ref="F72:S72" si="18">SUM(F60:F71)</f>
        <v>0</v>
      </c>
      <c r="G72" s="93">
        <f t="shared" si="18"/>
        <v>1610000</v>
      </c>
      <c r="H72" s="93">
        <f t="shared" si="18"/>
        <v>0</v>
      </c>
      <c r="I72" s="93">
        <f t="shared" si="18"/>
        <v>0</v>
      </c>
      <c r="J72" s="509">
        <f t="shared" si="17"/>
        <v>9270599.75</v>
      </c>
      <c r="K72" s="93">
        <f t="shared" si="18"/>
        <v>0</v>
      </c>
      <c r="L72" s="93">
        <f t="shared" si="18"/>
        <v>550000</v>
      </c>
      <c r="M72" s="93">
        <f t="shared" si="18"/>
        <v>668697.17</v>
      </c>
      <c r="N72" s="93">
        <f t="shared" si="18"/>
        <v>240000</v>
      </c>
      <c r="O72" s="93">
        <f t="shared" si="18"/>
        <v>11475.2625</v>
      </c>
      <c r="P72" s="93">
        <f t="shared" si="18"/>
        <v>1369176.88895</v>
      </c>
      <c r="Q72" s="93">
        <f t="shared" si="18"/>
        <v>612847.979999999</v>
      </c>
      <c r="R72" s="93">
        <f t="shared" si="18"/>
        <v>3452197.30145</v>
      </c>
      <c r="S72" s="93">
        <v>5732217.96315333</v>
      </c>
      <c r="T72" s="93">
        <f>SUM(T60:T71)</f>
        <v>5818402.44855</v>
      </c>
    </row>
    <row r="73" customHeight="1" spans="1:20">
      <c r="A73" s="10"/>
      <c r="B73" s="22"/>
      <c r="C73" s="21"/>
      <c r="D73" s="21"/>
      <c r="E73" s="146"/>
      <c r="F73" s="146"/>
      <c r="G73" s="220"/>
      <c r="H73" s="220"/>
      <c r="I73" s="146"/>
      <c r="J73" s="509">
        <f t="shared" si="17"/>
        <v>0</v>
      </c>
      <c r="K73" s="146"/>
      <c r="L73" s="146"/>
      <c r="M73" s="146"/>
      <c r="N73" s="146"/>
      <c r="O73" s="146"/>
      <c r="P73" s="146"/>
      <c r="Q73" s="146"/>
      <c r="R73" s="517"/>
      <c r="S73" s="146"/>
      <c r="T73" s="516"/>
    </row>
    <row r="74" customHeight="1" spans="1:20">
      <c r="A74" s="10"/>
      <c r="B74" s="20" t="s">
        <v>156</v>
      </c>
      <c r="C74" s="21"/>
      <c r="D74" s="21"/>
      <c r="E74" s="146"/>
      <c r="F74" s="146"/>
      <c r="G74" s="220"/>
      <c r="H74" s="220"/>
      <c r="I74" s="146"/>
      <c r="J74" s="509">
        <f t="shared" si="17"/>
        <v>0</v>
      </c>
      <c r="K74" s="146"/>
      <c r="L74" s="146"/>
      <c r="M74" s="146"/>
      <c r="N74" s="146"/>
      <c r="O74" s="146"/>
      <c r="P74" s="146"/>
      <c r="Q74" s="146"/>
      <c r="R74" s="517"/>
      <c r="S74" s="146"/>
      <c r="T74" s="516"/>
    </row>
    <row r="75" customHeight="1" spans="1:20">
      <c r="A75" s="10">
        <v>1</v>
      </c>
      <c r="B75" s="11" t="s">
        <v>157</v>
      </c>
      <c r="C75" s="12" t="s">
        <v>158</v>
      </c>
      <c r="D75" s="15" t="s">
        <v>124</v>
      </c>
      <c r="E75" s="85">
        <v>1747106.41666666</v>
      </c>
      <c r="F75" s="85"/>
      <c r="G75" s="220">
        <f>200000</f>
        <v>200000</v>
      </c>
      <c r="H75" s="220"/>
      <c r="I75" s="85">
        <v>0</v>
      </c>
      <c r="J75" s="509">
        <f t="shared" si="17"/>
        <v>1947106.41666666</v>
      </c>
      <c r="K75" s="85"/>
      <c r="L75" s="85">
        <v>250000</v>
      </c>
      <c r="M75" s="85"/>
      <c r="N75" s="85">
        <v>500000</v>
      </c>
      <c r="O75" s="85">
        <v>0</v>
      </c>
      <c r="P75" s="676">
        <v>332040.959699999</v>
      </c>
      <c r="Q75" s="676">
        <v>139768.513333333</v>
      </c>
      <c r="R75" s="510">
        <f>P75+O75+M75+N75+L75+K75+Q75</f>
        <v>1221809.47303333</v>
      </c>
      <c r="S75" s="85">
        <v>731662.35922666</v>
      </c>
      <c r="T75" s="509">
        <f>J75-R75</f>
        <v>725296.943633328</v>
      </c>
    </row>
    <row r="76" customHeight="1" spans="1:20">
      <c r="A76" s="10">
        <v>2</v>
      </c>
      <c r="B76" s="11" t="s">
        <v>159</v>
      </c>
      <c r="C76" s="12" t="s">
        <v>160</v>
      </c>
      <c r="D76" s="15" t="s">
        <v>161</v>
      </c>
      <c r="E76" s="85">
        <v>744477</v>
      </c>
      <c r="F76" s="85"/>
      <c r="G76" s="220"/>
      <c r="H76" s="220">
        <v>80000</v>
      </c>
      <c r="I76" s="85"/>
      <c r="J76" s="509">
        <f t="shared" si="17"/>
        <v>824477</v>
      </c>
      <c r="K76" s="85"/>
      <c r="L76" s="85">
        <v>50000</v>
      </c>
      <c r="M76" s="85">
        <v>345000</v>
      </c>
      <c r="N76" s="85"/>
      <c r="O76" s="85">
        <v>0</v>
      </c>
      <c r="P76" s="676">
        <v>120185.3912</v>
      </c>
      <c r="Q76" s="676">
        <v>59558.16</v>
      </c>
      <c r="R76" s="510">
        <f>P76+O76+M76+N76+L76+K76+Q76</f>
        <v>574743.5512</v>
      </c>
      <c r="S76" s="85">
        <v>244387.756053333</v>
      </c>
      <c r="T76" s="509">
        <f>J76-R76</f>
        <v>249733.4488</v>
      </c>
    </row>
    <row r="77" customHeight="1" spans="1:20">
      <c r="A77" s="10"/>
      <c r="B77" s="20" t="s">
        <v>120</v>
      </c>
      <c r="C77" s="21">
        <v>2</v>
      </c>
      <c r="D77" s="21"/>
      <c r="E77" s="93">
        <f>SUM(E75:E76)</f>
        <v>2491583.41666666</v>
      </c>
      <c r="F77" s="93">
        <f>SUM(F75:F76)</f>
        <v>0</v>
      </c>
      <c r="G77" s="93">
        <f t="shared" ref="G77:S77" si="19">SUM(G75:G76)</f>
        <v>200000</v>
      </c>
      <c r="H77" s="93">
        <f t="shared" si="19"/>
        <v>80000</v>
      </c>
      <c r="I77" s="93">
        <f t="shared" si="19"/>
        <v>0</v>
      </c>
      <c r="J77" s="509">
        <f t="shared" si="17"/>
        <v>2771583.41666666</v>
      </c>
      <c r="K77" s="93">
        <f t="shared" si="19"/>
        <v>0</v>
      </c>
      <c r="L77" s="93">
        <f t="shared" si="19"/>
        <v>300000</v>
      </c>
      <c r="M77" s="93">
        <f t="shared" si="19"/>
        <v>345000</v>
      </c>
      <c r="N77" s="93">
        <f t="shared" si="19"/>
        <v>500000</v>
      </c>
      <c r="O77" s="93">
        <f t="shared" si="19"/>
        <v>0</v>
      </c>
      <c r="P77" s="93">
        <f t="shared" si="19"/>
        <v>452226.350899999</v>
      </c>
      <c r="Q77" s="93">
        <f t="shared" si="19"/>
        <v>199326.673333333</v>
      </c>
      <c r="R77" s="93">
        <f t="shared" si="19"/>
        <v>1796553.02423333</v>
      </c>
      <c r="S77" s="93">
        <v>976050.115279993</v>
      </c>
      <c r="T77" s="93">
        <f>SUM(T75:T76)</f>
        <v>975030.392433328</v>
      </c>
    </row>
    <row r="78" customHeight="1" spans="1:20">
      <c r="A78" s="10"/>
      <c r="B78" s="20"/>
      <c r="C78" s="21"/>
      <c r="D78" s="21"/>
      <c r="E78" s="146"/>
      <c r="F78" s="146"/>
      <c r="G78" s="220"/>
      <c r="H78" s="220"/>
      <c r="I78" s="146"/>
      <c r="J78" s="509">
        <f t="shared" si="17"/>
        <v>0</v>
      </c>
      <c r="K78" s="146"/>
      <c r="L78" s="146"/>
      <c r="M78" s="146"/>
      <c r="N78" s="146"/>
      <c r="O78" s="146"/>
      <c r="P78" s="146"/>
      <c r="Q78" s="146"/>
      <c r="R78" s="517"/>
      <c r="S78" s="146"/>
      <c r="T78" s="516"/>
    </row>
    <row r="79" customHeight="1" spans="1:20">
      <c r="A79" s="10"/>
      <c r="B79" s="20" t="s">
        <v>162</v>
      </c>
      <c r="C79" s="21"/>
      <c r="D79" s="21"/>
      <c r="E79" s="146"/>
      <c r="F79" s="146"/>
      <c r="G79" s="220"/>
      <c r="H79" s="220"/>
      <c r="I79" s="146"/>
      <c r="J79" s="509">
        <f t="shared" si="17"/>
        <v>0</v>
      </c>
      <c r="K79" s="146"/>
      <c r="L79" s="146"/>
      <c r="M79" s="146"/>
      <c r="N79" s="146"/>
      <c r="O79" s="146"/>
      <c r="P79" s="146"/>
      <c r="Q79" s="146"/>
      <c r="R79" s="517"/>
      <c r="S79" s="146"/>
      <c r="T79" s="516"/>
    </row>
    <row r="80" customHeight="1" spans="1:20">
      <c r="A80" s="10">
        <v>1</v>
      </c>
      <c r="B80" s="14" t="s">
        <v>163</v>
      </c>
      <c r="C80" s="4" t="s">
        <v>164</v>
      </c>
      <c r="D80" s="10" t="s">
        <v>35</v>
      </c>
      <c r="E80" s="85">
        <v>905306.75</v>
      </c>
      <c r="F80" s="85"/>
      <c r="G80" s="220">
        <v>180000</v>
      </c>
      <c r="H80" s="220"/>
      <c r="I80" s="85">
        <v>0</v>
      </c>
      <c r="J80" s="509">
        <f t="shared" si="17"/>
        <v>1085306.75</v>
      </c>
      <c r="K80" s="85"/>
      <c r="L80" s="85">
        <f>100000</f>
        <v>100000</v>
      </c>
      <c r="M80" s="85">
        <f>163103.59</f>
        <v>163103.59</v>
      </c>
      <c r="N80" s="85"/>
      <c r="O80" s="85">
        <v>13866.7375</v>
      </c>
      <c r="P80" s="85">
        <v>162322.78505</v>
      </c>
      <c r="Q80" s="85">
        <v>72424.54</v>
      </c>
      <c r="R80" s="510">
        <f>P80+O80+M80+N80+L80+K80+Q80</f>
        <v>511717.65255</v>
      </c>
      <c r="S80" s="85">
        <v>565434.245113333</v>
      </c>
      <c r="T80" s="509">
        <f>J80-R80</f>
        <v>573589.09745</v>
      </c>
    </row>
    <row r="81" customHeight="1" spans="1:20">
      <c r="A81" s="10">
        <v>2</v>
      </c>
      <c r="B81" s="11" t="s">
        <v>165</v>
      </c>
      <c r="C81" s="4" t="s">
        <v>51</v>
      </c>
      <c r="D81" s="10" t="s">
        <v>46</v>
      </c>
      <c r="E81" s="85">
        <v>573911.083333334</v>
      </c>
      <c r="F81" s="85"/>
      <c r="G81" s="220">
        <v>140000</v>
      </c>
      <c r="H81" s="220"/>
      <c r="I81" s="85"/>
      <c r="J81" s="509">
        <f t="shared" si="17"/>
        <v>713911.083333334</v>
      </c>
      <c r="K81" s="85"/>
      <c r="L81" s="85">
        <f>110000+90000</f>
        <v>200000</v>
      </c>
      <c r="M81" s="85"/>
      <c r="N81" s="85">
        <v>80000</v>
      </c>
      <c r="O81" s="85"/>
      <c r="P81" s="85">
        <v>102739.6754</v>
      </c>
      <c r="Q81" s="85">
        <v>45912.8866666667</v>
      </c>
      <c r="R81" s="510">
        <f t="shared" ref="R81:R90" si="20">P81+O81+M81+N81+L81+K81+Q81</f>
        <v>428652.562066667</v>
      </c>
      <c r="S81" s="85">
        <v>269371.053573333</v>
      </c>
      <c r="T81" s="509">
        <f t="shared" ref="T81:T90" si="21">J81-R81</f>
        <v>285258.521266667</v>
      </c>
    </row>
    <row r="82" s="1" customFormat="1" customHeight="1" spans="1:20">
      <c r="A82" s="10">
        <v>3</v>
      </c>
      <c r="B82" s="18" t="s">
        <v>166</v>
      </c>
      <c r="C82" s="17" t="s">
        <v>167</v>
      </c>
      <c r="D82" s="15" t="s">
        <v>63</v>
      </c>
      <c r="E82" s="85">
        <v>497472.75</v>
      </c>
      <c r="F82" s="85"/>
      <c r="G82" s="220">
        <f t="shared" ref="G82:G87" si="22">120000</f>
        <v>120000</v>
      </c>
      <c r="H82" s="220"/>
      <c r="I82" s="85">
        <v>0</v>
      </c>
      <c r="J82" s="509">
        <f t="shared" si="17"/>
        <v>617472.75</v>
      </c>
      <c r="K82" s="85"/>
      <c r="L82" s="85">
        <v>30000</v>
      </c>
      <c r="M82" s="85">
        <v>15000</v>
      </c>
      <c r="N82" s="85"/>
      <c r="O82" s="85">
        <v>7791.83125</v>
      </c>
      <c r="P82" s="85">
        <v>85078.957775</v>
      </c>
      <c r="Q82" s="85">
        <v>39797.82</v>
      </c>
      <c r="R82" s="510">
        <f t="shared" si="20"/>
        <v>177668.609025</v>
      </c>
      <c r="S82" s="85">
        <v>424647.47952</v>
      </c>
      <c r="T82" s="509">
        <f t="shared" si="21"/>
        <v>439804.140975</v>
      </c>
    </row>
    <row r="83" s="1" customFormat="1" customHeight="1" spans="1:20">
      <c r="A83" s="10">
        <v>4</v>
      </c>
      <c r="B83" s="18" t="s">
        <v>168</v>
      </c>
      <c r="C83" s="17" t="s">
        <v>167</v>
      </c>
      <c r="D83" s="15" t="s">
        <v>63</v>
      </c>
      <c r="E83" s="85">
        <v>497472.75</v>
      </c>
      <c r="F83" s="85"/>
      <c r="G83" s="220">
        <f t="shared" si="22"/>
        <v>120000</v>
      </c>
      <c r="H83" s="220"/>
      <c r="I83" s="85">
        <v>0</v>
      </c>
      <c r="J83" s="509">
        <f t="shared" si="17"/>
        <v>617472.75</v>
      </c>
      <c r="K83" s="85"/>
      <c r="L83" s="85">
        <v>100000</v>
      </c>
      <c r="M83" s="85"/>
      <c r="N83" s="85">
        <v>52000</v>
      </c>
      <c r="O83" s="85">
        <v>7791.83125</v>
      </c>
      <c r="P83" s="85">
        <v>85078.957775</v>
      </c>
      <c r="Q83" s="85">
        <v>39797.82</v>
      </c>
      <c r="R83" s="510">
        <f t="shared" si="20"/>
        <v>284668.609025</v>
      </c>
      <c r="S83" s="85">
        <v>369647.47952</v>
      </c>
      <c r="T83" s="509">
        <f t="shared" si="21"/>
        <v>332804.140975</v>
      </c>
    </row>
    <row r="84" customHeight="1" spans="1:20">
      <c r="A84" s="10">
        <v>5</v>
      </c>
      <c r="B84" s="11" t="s">
        <v>169</v>
      </c>
      <c r="C84" s="4" t="s">
        <v>150</v>
      </c>
      <c r="D84" s="10" t="s">
        <v>170</v>
      </c>
      <c r="E84" s="85">
        <v>482662.666666667</v>
      </c>
      <c r="F84" s="85"/>
      <c r="G84" s="220">
        <f>110000</f>
        <v>110000</v>
      </c>
      <c r="H84" s="220"/>
      <c r="I84" s="85">
        <v>0</v>
      </c>
      <c r="J84" s="509">
        <f t="shared" si="17"/>
        <v>592662.666666667</v>
      </c>
      <c r="K84" s="85"/>
      <c r="L84" s="85">
        <v>10000</v>
      </c>
      <c r="M84" s="85">
        <f>163196.67</f>
        <v>163196.67</v>
      </c>
      <c r="N84" s="85"/>
      <c r="O84" s="85">
        <v>7571.96666666667</v>
      </c>
      <c r="P84" s="85">
        <v>80865.9836000001</v>
      </c>
      <c r="Q84" s="85">
        <v>38613.0133333334</v>
      </c>
      <c r="R84" s="510">
        <f t="shared" si="20"/>
        <v>300247.6336</v>
      </c>
      <c r="S84" s="85">
        <v>278158.199306667</v>
      </c>
      <c r="T84" s="509">
        <f t="shared" si="21"/>
        <v>292415.033066667</v>
      </c>
    </row>
    <row r="85" customHeight="1" spans="1:20">
      <c r="A85" s="10">
        <v>6</v>
      </c>
      <c r="B85" s="11" t="s">
        <v>171</v>
      </c>
      <c r="C85" s="17" t="s">
        <v>71</v>
      </c>
      <c r="D85" s="10" t="s">
        <v>170</v>
      </c>
      <c r="E85" s="85">
        <v>482662.666666667</v>
      </c>
      <c r="F85" s="85"/>
      <c r="G85" s="220">
        <f t="shared" ref="G85:G87" si="23">110000</f>
        <v>110000</v>
      </c>
      <c r="H85" s="220"/>
      <c r="I85" s="85">
        <v>0</v>
      </c>
      <c r="J85" s="509">
        <f t="shared" si="17"/>
        <v>592662.666666667</v>
      </c>
      <c r="K85" s="85"/>
      <c r="L85" s="85"/>
      <c r="M85" s="85"/>
      <c r="N85" s="85">
        <v>50000</v>
      </c>
      <c r="O85" s="85"/>
      <c r="P85" s="85">
        <v>82228.9376</v>
      </c>
      <c r="Q85" s="85">
        <v>38613.0133333334</v>
      </c>
      <c r="R85" s="510">
        <f t="shared" si="20"/>
        <v>170841.950933333</v>
      </c>
      <c r="S85" s="85">
        <v>408721.439306667</v>
      </c>
      <c r="T85" s="509">
        <f t="shared" si="21"/>
        <v>421820.715733334</v>
      </c>
    </row>
    <row r="86" customHeight="1" spans="1:20">
      <c r="A86" s="10">
        <v>7</v>
      </c>
      <c r="B86" s="11" t="s">
        <v>172</v>
      </c>
      <c r="C86" s="17" t="s">
        <v>71</v>
      </c>
      <c r="D86" s="10" t="s">
        <v>170</v>
      </c>
      <c r="E86" s="85">
        <v>482662.666666667</v>
      </c>
      <c r="F86" s="85"/>
      <c r="G86" s="220">
        <f t="shared" si="23"/>
        <v>110000</v>
      </c>
      <c r="H86" s="220"/>
      <c r="I86" s="85">
        <v>0</v>
      </c>
      <c r="J86" s="509">
        <f t="shared" si="17"/>
        <v>592662.666666667</v>
      </c>
      <c r="K86" s="85"/>
      <c r="L86" s="85">
        <f>67000-2000</f>
        <v>65000</v>
      </c>
      <c r="M86" s="85"/>
      <c r="N86" s="85">
        <v>40000</v>
      </c>
      <c r="O86" s="85"/>
      <c r="P86" s="85">
        <v>82228.9376</v>
      </c>
      <c r="Q86" s="85">
        <v>38613.0133333334</v>
      </c>
      <c r="R86" s="510">
        <f t="shared" si="20"/>
        <v>225841.950933333</v>
      </c>
      <c r="S86" s="85">
        <v>353721.439306667</v>
      </c>
      <c r="T86" s="509">
        <f t="shared" si="21"/>
        <v>366820.715733334</v>
      </c>
    </row>
    <row r="87" customHeight="1" spans="1:20">
      <c r="A87" s="10">
        <v>8</v>
      </c>
      <c r="B87" s="11" t="s">
        <v>173</v>
      </c>
      <c r="C87" s="4" t="s">
        <v>174</v>
      </c>
      <c r="D87" s="15" t="s">
        <v>66</v>
      </c>
      <c r="E87" s="85">
        <v>482846.583333333</v>
      </c>
      <c r="F87" s="85"/>
      <c r="G87" s="220">
        <f t="shared" si="22"/>
        <v>120000</v>
      </c>
      <c r="H87" s="220"/>
      <c r="I87" s="85"/>
      <c r="J87" s="509">
        <f t="shared" si="17"/>
        <v>602846.583333333</v>
      </c>
      <c r="K87" s="85"/>
      <c r="L87" s="85">
        <f>80000+20000</f>
        <v>100000</v>
      </c>
      <c r="M87" s="85"/>
      <c r="N87" s="85">
        <f>40000</f>
        <v>40000</v>
      </c>
      <c r="O87" s="85"/>
      <c r="P87" s="85">
        <v>84059.3941999999</v>
      </c>
      <c r="Q87" s="85">
        <v>38627.7266666666</v>
      </c>
      <c r="R87" s="510">
        <f t="shared" si="20"/>
        <v>262687.120866666</v>
      </c>
      <c r="S87" s="85">
        <v>337222.16952</v>
      </c>
      <c r="T87" s="509">
        <f t="shared" si="21"/>
        <v>340159.462466667</v>
      </c>
    </row>
    <row r="88" s="1" customFormat="1" customHeight="1" spans="1:20">
      <c r="A88" s="10">
        <v>9</v>
      </c>
      <c r="B88" s="14" t="s">
        <v>175</v>
      </c>
      <c r="C88" s="17" t="s">
        <v>176</v>
      </c>
      <c r="D88" s="10" t="s">
        <v>131</v>
      </c>
      <c r="E88" s="85">
        <v>454993.583333333</v>
      </c>
      <c r="F88" s="85"/>
      <c r="G88" s="220">
        <v>110000</v>
      </c>
      <c r="H88" s="220"/>
      <c r="I88" s="85"/>
      <c r="J88" s="509">
        <f t="shared" si="17"/>
        <v>564993.583333333</v>
      </c>
      <c r="K88" s="85"/>
      <c r="L88" s="85">
        <v>20000</v>
      </c>
      <c r="M88" s="85">
        <v>50000</v>
      </c>
      <c r="N88" s="85"/>
      <c r="O88" s="85">
        <v>7161.17708333333</v>
      </c>
      <c r="P88" s="85">
        <v>76357.9255249999</v>
      </c>
      <c r="Q88" s="85">
        <v>36399.4866666666</v>
      </c>
      <c r="R88" s="510">
        <f t="shared" si="20"/>
        <v>189918.589275</v>
      </c>
      <c r="S88" s="85">
        <v>361197.506323333</v>
      </c>
      <c r="T88" s="509">
        <f t="shared" si="21"/>
        <v>375074.994058333</v>
      </c>
    </row>
    <row r="89" ht="21.6" customHeight="1" spans="1:20">
      <c r="A89" s="10">
        <v>10</v>
      </c>
      <c r="B89" s="11" t="s">
        <v>177</v>
      </c>
      <c r="C89" s="4" t="s">
        <v>150</v>
      </c>
      <c r="D89" s="10" t="s">
        <v>151</v>
      </c>
      <c r="E89" s="220">
        <v>399131.166666667</v>
      </c>
      <c r="F89" s="85"/>
      <c r="G89" s="220">
        <v>100000</v>
      </c>
      <c r="H89" s="220"/>
      <c r="I89" s="85"/>
      <c r="J89" s="509">
        <f t="shared" si="17"/>
        <v>499131.166666667</v>
      </c>
      <c r="K89" s="4"/>
      <c r="L89" s="4"/>
      <c r="M89" s="4"/>
      <c r="N89" s="1083">
        <v>30000</v>
      </c>
      <c r="O89" s="916">
        <v>6286.69791666668</v>
      </c>
      <c r="P89" s="85">
        <v>65464.5155750001</v>
      </c>
      <c r="Q89" s="85">
        <v>31930.4933333334</v>
      </c>
      <c r="R89" s="510">
        <f t="shared" si="20"/>
        <v>133681.706825</v>
      </c>
      <c r="S89" s="1084">
        <v>357172.048833334</v>
      </c>
      <c r="T89" s="509">
        <f t="shared" si="21"/>
        <v>365449.459841667</v>
      </c>
    </row>
    <row r="90" s="1" customFormat="1" ht="18.75" customHeight="1" spans="1:20">
      <c r="A90" s="10">
        <v>11</v>
      </c>
      <c r="B90" s="18" t="s">
        <v>178</v>
      </c>
      <c r="C90" s="4" t="s">
        <v>179</v>
      </c>
      <c r="D90" s="10" t="s">
        <v>99</v>
      </c>
      <c r="E90" s="85">
        <v>338711.666666667</v>
      </c>
      <c r="F90" s="85"/>
      <c r="G90" s="220">
        <f>100000</f>
        <v>100000</v>
      </c>
      <c r="H90" s="220"/>
      <c r="I90" s="85"/>
      <c r="J90" s="509">
        <f t="shared" si="17"/>
        <v>438711.666666667</v>
      </c>
      <c r="K90" s="85"/>
      <c r="L90" s="85"/>
      <c r="M90" s="85"/>
      <c r="N90" s="85">
        <v>52000</v>
      </c>
      <c r="O90" s="85"/>
      <c r="P90" s="85">
        <v>56590.6520000001</v>
      </c>
      <c r="Q90" s="85">
        <v>27096.9333333334</v>
      </c>
      <c r="R90" s="510">
        <f t="shared" si="20"/>
        <v>135687.585333333</v>
      </c>
      <c r="S90" s="85">
        <v>347744.7428</v>
      </c>
      <c r="T90" s="509">
        <f t="shared" si="21"/>
        <v>303024.081333334</v>
      </c>
    </row>
    <row r="91" ht="27" customHeight="1" spans="1:20">
      <c r="A91" s="10"/>
      <c r="B91" s="20" t="s">
        <v>120</v>
      </c>
      <c r="C91" s="21">
        <v>11</v>
      </c>
      <c r="D91" s="21"/>
      <c r="E91" s="93">
        <f t="shared" ref="E91:M91" si="24">SUM(E80:E90)</f>
        <v>5597834.33333333</v>
      </c>
      <c r="F91" s="93">
        <f t="shared" si="24"/>
        <v>0</v>
      </c>
      <c r="G91" s="93">
        <f t="shared" si="24"/>
        <v>1320000</v>
      </c>
      <c r="H91" s="93">
        <f t="shared" si="24"/>
        <v>0</v>
      </c>
      <c r="I91" s="93">
        <f t="shared" si="24"/>
        <v>0</v>
      </c>
      <c r="J91" s="509">
        <f t="shared" si="17"/>
        <v>6917834.33333333</v>
      </c>
      <c r="K91" s="93">
        <f t="shared" si="24"/>
        <v>0</v>
      </c>
      <c r="L91" s="93">
        <f t="shared" si="24"/>
        <v>625000</v>
      </c>
      <c r="M91" s="93">
        <f t="shared" si="24"/>
        <v>391300.26</v>
      </c>
      <c r="N91" s="93">
        <f t="shared" ref="N91:T91" si="25">SUM(N80:N90)</f>
        <v>344000</v>
      </c>
      <c r="O91" s="93">
        <f t="shared" si="25"/>
        <v>50470.2416666667</v>
      </c>
      <c r="P91" s="93">
        <f t="shared" si="25"/>
        <v>963016.7221</v>
      </c>
      <c r="Q91" s="93">
        <f t="shared" si="25"/>
        <v>447826.746666667</v>
      </c>
      <c r="R91" s="93">
        <f t="shared" si="25"/>
        <v>2821613.97043333</v>
      </c>
      <c r="S91" s="93">
        <v>4073037.80312333</v>
      </c>
      <c r="T91" s="93">
        <f t="shared" si="25"/>
        <v>4096220.3629</v>
      </c>
    </row>
    <row r="92" customHeight="1" spans="1:20">
      <c r="A92" s="10"/>
      <c r="B92" s="22"/>
      <c r="C92" s="21"/>
      <c r="D92" s="21"/>
      <c r="E92" s="146"/>
      <c r="F92" s="146"/>
      <c r="G92" s="220"/>
      <c r="H92" s="220"/>
      <c r="I92" s="146"/>
      <c r="J92" s="509">
        <f t="shared" si="17"/>
        <v>0</v>
      </c>
      <c r="K92" s="146"/>
      <c r="L92" s="146"/>
      <c r="M92" s="146"/>
      <c r="N92" s="146"/>
      <c r="O92" s="146"/>
      <c r="P92" s="146"/>
      <c r="Q92" s="146"/>
      <c r="R92" s="517"/>
      <c r="S92" s="146"/>
      <c r="T92" s="516"/>
    </row>
    <row r="93" customHeight="1" spans="1:20">
      <c r="A93" s="10"/>
      <c r="B93" s="20" t="s">
        <v>180</v>
      </c>
      <c r="C93" s="21"/>
      <c r="D93" s="21"/>
      <c r="E93" s="146"/>
      <c r="F93" s="146"/>
      <c r="G93" s="220"/>
      <c r="H93" s="220"/>
      <c r="I93" s="146"/>
      <c r="J93" s="509">
        <f t="shared" si="17"/>
        <v>0</v>
      </c>
      <c r="K93" s="146"/>
      <c r="L93" s="146"/>
      <c r="M93" s="146"/>
      <c r="N93" s="146"/>
      <c r="O93" s="146"/>
      <c r="P93" s="146"/>
      <c r="Q93" s="146"/>
      <c r="R93" s="517"/>
      <c r="S93" s="146"/>
      <c r="T93" s="516"/>
    </row>
    <row r="94" customHeight="1" spans="1:20">
      <c r="A94" s="10">
        <v>1</v>
      </c>
      <c r="B94" s="11" t="s">
        <v>181</v>
      </c>
      <c r="C94" s="4" t="s">
        <v>182</v>
      </c>
      <c r="D94" s="10" t="s">
        <v>124</v>
      </c>
      <c r="E94" s="85">
        <v>1747106.41666666</v>
      </c>
      <c r="F94" s="85"/>
      <c r="G94" s="220">
        <f>200000</f>
        <v>200000</v>
      </c>
      <c r="H94" s="220"/>
      <c r="I94" s="85">
        <v>0</v>
      </c>
      <c r="J94" s="509">
        <f t="shared" si="17"/>
        <v>1947106.41666666</v>
      </c>
      <c r="K94" s="85"/>
      <c r="L94" s="85">
        <v>350000</v>
      </c>
      <c r="M94" s="85">
        <f>0</f>
        <v>0</v>
      </c>
      <c r="N94" s="85">
        <v>100000</v>
      </c>
      <c r="O94" s="85"/>
      <c r="P94" s="85">
        <v>332040.959699999</v>
      </c>
      <c r="Q94" s="85">
        <v>139768.513333333</v>
      </c>
      <c r="R94" s="510">
        <f>P94+O94+M94+N94+L94+K94+Q94</f>
        <v>921809.473033332</v>
      </c>
      <c r="S94" s="85">
        <v>1031662.35922666</v>
      </c>
      <c r="T94" s="509">
        <f>J94-R94</f>
        <v>1025296.94363333</v>
      </c>
    </row>
    <row r="95" customHeight="1" spans="1:20">
      <c r="A95" s="10">
        <v>2</v>
      </c>
      <c r="B95" s="11" t="s">
        <v>183</v>
      </c>
      <c r="C95" s="4" t="s">
        <v>184</v>
      </c>
      <c r="D95" s="10" t="s">
        <v>49</v>
      </c>
      <c r="E95" s="85">
        <v>722595.5</v>
      </c>
      <c r="F95" s="85"/>
      <c r="G95" s="220">
        <v>160000</v>
      </c>
      <c r="H95" s="220"/>
      <c r="I95" s="85"/>
      <c r="J95" s="509">
        <f t="shared" si="17"/>
        <v>882595.5</v>
      </c>
      <c r="K95" s="85"/>
      <c r="L95" s="975">
        <f>50000</f>
        <v>50000</v>
      </c>
      <c r="M95" s="975">
        <f>144081</f>
        <v>144081</v>
      </c>
      <c r="N95" s="85"/>
      <c r="O95" s="85"/>
      <c r="P95" s="85">
        <v>130961.8148</v>
      </c>
      <c r="Q95" s="85">
        <v>57807.64</v>
      </c>
      <c r="R95" s="510">
        <f t="shared" ref="R95:R104" si="26">P95+O95+M95+N95+L95+K95+Q95</f>
        <v>382850.4548</v>
      </c>
      <c r="S95" s="85">
        <v>493680.924213333</v>
      </c>
      <c r="T95" s="509">
        <f t="shared" ref="T95:T104" si="27">J95-R95</f>
        <v>499745.0452</v>
      </c>
    </row>
    <row r="96" customHeight="1" spans="1:20">
      <c r="A96" s="10">
        <v>3</v>
      </c>
      <c r="B96" s="11" t="s">
        <v>185</v>
      </c>
      <c r="C96" s="4" t="s">
        <v>186</v>
      </c>
      <c r="D96" s="10" t="s">
        <v>49</v>
      </c>
      <c r="E96" s="85">
        <v>722595.5</v>
      </c>
      <c r="F96" s="85"/>
      <c r="G96" s="220">
        <v>160000</v>
      </c>
      <c r="H96" s="220"/>
      <c r="I96" s="85"/>
      <c r="J96" s="509">
        <f t="shared" si="17"/>
        <v>882595.5</v>
      </c>
      <c r="K96" s="85"/>
      <c r="L96" s="85"/>
      <c r="M96" s="85"/>
      <c r="N96" s="85"/>
      <c r="O96" s="85"/>
      <c r="P96" s="85">
        <v>130961.8148</v>
      </c>
      <c r="Q96" s="85">
        <v>57807.64</v>
      </c>
      <c r="R96" s="510">
        <f t="shared" si="26"/>
        <v>188769.4548</v>
      </c>
      <c r="S96" s="85">
        <v>687761.924213333</v>
      </c>
      <c r="T96" s="509">
        <f t="shared" si="27"/>
        <v>693826.0452</v>
      </c>
    </row>
    <row r="97" customHeight="1" spans="1:20">
      <c r="A97" s="10">
        <v>4</v>
      </c>
      <c r="B97" s="11" t="s">
        <v>187</v>
      </c>
      <c r="C97" s="4" t="s">
        <v>188</v>
      </c>
      <c r="D97" s="15" t="s">
        <v>189</v>
      </c>
      <c r="E97" s="85">
        <v>589657</v>
      </c>
      <c r="F97" s="85"/>
      <c r="G97" s="220">
        <f>140000</f>
        <v>140000</v>
      </c>
      <c r="H97" s="220"/>
      <c r="I97" s="85">
        <v>0</v>
      </c>
      <c r="J97" s="509">
        <f t="shared" si="17"/>
        <v>729657</v>
      </c>
      <c r="K97" s="85"/>
      <c r="L97" s="85">
        <v>20000</v>
      </c>
      <c r="M97" s="85">
        <v>210785.51</v>
      </c>
      <c r="N97" s="85"/>
      <c r="O97" s="85">
        <v>9160.4375</v>
      </c>
      <c r="P97" s="85">
        <v>103698.32045</v>
      </c>
      <c r="Q97" s="85">
        <v>47172.56</v>
      </c>
      <c r="R97" s="510">
        <f t="shared" si="26"/>
        <v>390816.82795</v>
      </c>
      <c r="S97" s="85">
        <v>323077.619573334</v>
      </c>
      <c r="T97" s="509">
        <f t="shared" si="27"/>
        <v>338840.17205</v>
      </c>
    </row>
    <row r="98" customHeight="1" spans="1:20">
      <c r="A98" s="10">
        <v>5</v>
      </c>
      <c r="B98" s="11" t="s">
        <v>190</v>
      </c>
      <c r="C98" s="12" t="s">
        <v>191</v>
      </c>
      <c r="D98" s="15" t="s">
        <v>63</v>
      </c>
      <c r="E98" s="85">
        <v>497472.75</v>
      </c>
      <c r="F98" s="85"/>
      <c r="G98" s="220">
        <v>120000</v>
      </c>
      <c r="H98" s="220"/>
      <c r="I98" s="85"/>
      <c r="J98" s="509">
        <f t="shared" si="17"/>
        <v>617472.75</v>
      </c>
      <c r="K98" s="85"/>
      <c r="L98" s="85"/>
      <c r="M98" s="85"/>
      <c r="N98" s="85"/>
      <c r="O98" s="85">
        <v>7791.83125</v>
      </c>
      <c r="P98" s="85">
        <v>85078.957775</v>
      </c>
      <c r="Q98" s="85">
        <v>39797.82</v>
      </c>
      <c r="R98" s="510">
        <f t="shared" si="26"/>
        <v>132668.609025</v>
      </c>
      <c r="S98" s="85">
        <v>469647.484103334</v>
      </c>
      <c r="T98" s="509">
        <f t="shared" si="27"/>
        <v>484804.140975</v>
      </c>
    </row>
    <row r="99" s="1" customFormat="1" customHeight="1" spans="1:20">
      <c r="A99" s="10">
        <v>6</v>
      </c>
      <c r="B99" s="11" t="s">
        <v>192</v>
      </c>
      <c r="C99" s="4" t="s">
        <v>193</v>
      </c>
      <c r="D99" s="15" t="s">
        <v>63</v>
      </c>
      <c r="E99" s="85">
        <v>497472.75</v>
      </c>
      <c r="F99" s="85"/>
      <c r="G99" s="220">
        <f>120000</f>
        <v>120000</v>
      </c>
      <c r="H99" s="220"/>
      <c r="I99" s="85">
        <v>0</v>
      </c>
      <c r="J99" s="509">
        <f t="shared" si="17"/>
        <v>617472.75</v>
      </c>
      <c r="K99" s="85"/>
      <c r="L99" s="85">
        <v>100000</v>
      </c>
      <c r="M99" s="85">
        <v>50000</v>
      </c>
      <c r="N99" s="85">
        <v>100000</v>
      </c>
      <c r="O99" s="85"/>
      <c r="P99" s="85">
        <v>86481.4874</v>
      </c>
      <c r="Q99" s="85">
        <v>39797.82</v>
      </c>
      <c r="R99" s="510">
        <f t="shared" si="26"/>
        <v>376279.3074</v>
      </c>
      <c r="S99" s="85">
        <v>227222.16952</v>
      </c>
      <c r="T99" s="509">
        <f t="shared" si="27"/>
        <v>241193.4426</v>
      </c>
    </row>
    <row r="100" customHeight="1" spans="1:20">
      <c r="A100" s="10">
        <v>7</v>
      </c>
      <c r="B100" s="11" t="s">
        <v>194</v>
      </c>
      <c r="C100" s="4" t="s">
        <v>195</v>
      </c>
      <c r="D100" s="10" t="s">
        <v>69</v>
      </c>
      <c r="E100" s="85">
        <v>468828.166666667</v>
      </c>
      <c r="F100" s="85"/>
      <c r="G100" s="220">
        <f>110000</f>
        <v>110000</v>
      </c>
      <c r="H100" s="220"/>
      <c r="I100" s="85"/>
      <c r="J100" s="509">
        <f t="shared" si="17"/>
        <v>578828.166666667</v>
      </c>
      <c r="K100" s="85"/>
      <c r="L100" s="85">
        <f>50000</f>
        <v>50000</v>
      </c>
      <c r="M100" s="85">
        <f>50000</f>
        <v>50000</v>
      </c>
      <c r="N100" s="85"/>
      <c r="O100" s="85">
        <v>7366.57291666668</v>
      </c>
      <c r="P100" s="85">
        <v>78611.9612750001</v>
      </c>
      <c r="Q100" s="85">
        <v>37506.2533333334</v>
      </c>
      <c r="R100" s="510">
        <f t="shared" si="26"/>
        <v>223484.787525</v>
      </c>
      <c r="S100" s="85">
        <v>341276.186356666</v>
      </c>
      <c r="T100" s="509">
        <f t="shared" si="27"/>
        <v>355343.379141667</v>
      </c>
    </row>
    <row r="101" s="1" customFormat="1" customHeight="1" spans="1:20">
      <c r="A101" s="10">
        <v>8</v>
      </c>
      <c r="B101" s="11" t="s">
        <v>196</v>
      </c>
      <c r="C101" s="4" t="s">
        <v>197</v>
      </c>
      <c r="D101" s="10" t="s">
        <v>74</v>
      </c>
      <c r="E101" s="85">
        <v>381140.666666666</v>
      </c>
      <c r="F101" s="85"/>
      <c r="G101" s="220">
        <f>100000</f>
        <v>100000</v>
      </c>
      <c r="H101" s="220"/>
      <c r="I101" s="85"/>
      <c r="J101" s="509">
        <f t="shared" si="17"/>
        <v>481140.666666666</v>
      </c>
      <c r="K101" s="85"/>
      <c r="L101" s="85">
        <v>50000</v>
      </c>
      <c r="M101" s="85"/>
      <c r="N101" s="85"/>
      <c r="O101" s="85"/>
      <c r="P101" s="85">
        <v>63616.8943999999</v>
      </c>
      <c r="Q101" s="85">
        <v>30491.2533333333</v>
      </c>
      <c r="R101" s="510">
        <f t="shared" si="26"/>
        <v>144108.147733333</v>
      </c>
      <c r="S101" s="85">
        <v>328771.28832</v>
      </c>
      <c r="T101" s="509">
        <f t="shared" si="27"/>
        <v>337032.518933333</v>
      </c>
    </row>
    <row r="102" customHeight="1" spans="1:20">
      <c r="A102" s="10">
        <v>9</v>
      </c>
      <c r="B102" s="11" t="s">
        <v>198</v>
      </c>
      <c r="C102" s="4" t="s">
        <v>179</v>
      </c>
      <c r="D102" s="10" t="s">
        <v>88</v>
      </c>
      <c r="E102" s="85">
        <v>347016.166666666</v>
      </c>
      <c r="F102" s="85"/>
      <c r="G102" s="220">
        <v>100000</v>
      </c>
      <c r="H102" s="220"/>
      <c r="I102" s="85"/>
      <c r="J102" s="509">
        <f t="shared" ref="J102:J125" si="28">E102+F102+G102+H102+I102</f>
        <v>447016.166666666</v>
      </c>
      <c r="K102" s="85"/>
      <c r="L102" s="85"/>
      <c r="M102" s="85"/>
      <c r="N102" s="85">
        <v>30000</v>
      </c>
      <c r="O102" s="85">
        <v>5566.86458333332</v>
      </c>
      <c r="P102" s="85">
        <v>56963.8415749999</v>
      </c>
      <c r="Q102" s="85">
        <v>27761.2933333333</v>
      </c>
      <c r="R102" s="510">
        <f t="shared" si="26"/>
        <v>120291.999491667</v>
      </c>
      <c r="S102" s="85">
        <v>324524.406403333</v>
      </c>
      <c r="T102" s="509">
        <f t="shared" si="27"/>
        <v>326724.167174999</v>
      </c>
    </row>
    <row r="103" s="1" customFormat="1" ht="18.75" customHeight="1" spans="1:20">
      <c r="A103" s="10">
        <v>10</v>
      </c>
      <c r="B103" s="18" t="s">
        <v>199</v>
      </c>
      <c r="C103" s="4" t="s">
        <v>179</v>
      </c>
      <c r="D103" s="10" t="s">
        <v>99</v>
      </c>
      <c r="E103" s="85">
        <v>338711.666666667</v>
      </c>
      <c r="F103" s="85"/>
      <c r="G103" s="220">
        <f>100000</f>
        <v>100000</v>
      </c>
      <c r="H103" s="220"/>
      <c r="I103" s="85"/>
      <c r="J103" s="509">
        <f t="shared" si="28"/>
        <v>438711.666666667</v>
      </c>
      <c r="K103" s="85"/>
      <c r="L103" s="85">
        <v>10000</v>
      </c>
      <c r="M103" s="85">
        <v>30000</v>
      </c>
      <c r="N103" s="85"/>
      <c r="O103" s="85"/>
      <c r="P103" s="85">
        <v>56590.6520000001</v>
      </c>
      <c r="Q103" s="85">
        <v>27096.9333333334</v>
      </c>
      <c r="R103" s="510">
        <f t="shared" si="26"/>
        <v>123687.585333333</v>
      </c>
      <c r="S103" s="85">
        <v>307744.7428</v>
      </c>
      <c r="T103" s="509">
        <f t="shared" si="27"/>
        <v>315024.081333334</v>
      </c>
    </row>
    <row r="104" customHeight="1" spans="1:20">
      <c r="A104" s="10">
        <v>11</v>
      </c>
      <c r="B104" s="11" t="s">
        <v>200</v>
      </c>
      <c r="C104" s="4" t="s">
        <v>201</v>
      </c>
      <c r="D104" s="10" t="s">
        <v>105</v>
      </c>
      <c r="E104" s="85">
        <v>308920.666666667</v>
      </c>
      <c r="F104" s="85"/>
      <c r="G104" s="220">
        <v>100000</v>
      </c>
      <c r="H104" s="220">
        <v>0</v>
      </c>
      <c r="I104" s="85"/>
      <c r="J104" s="509">
        <f t="shared" si="28"/>
        <v>408920.666666667</v>
      </c>
      <c r="K104" s="85"/>
      <c r="L104" s="85">
        <v>80000</v>
      </c>
      <c r="M104" s="85">
        <v>50000</v>
      </c>
      <c r="N104" s="85"/>
      <c r="O104" s="85"/>
      <c r="P104" s="85">
        <v>51657.2624000001</v>
      </c>
      <c r="Q104" s="85">
        <v>24713.6533333334</v>
      </c>
      <c r="R104" s="510">
        <f t="shared" si="26"/>
        <v>206370.915733333</v>
      </c>
      <c r="S104" s="85">
        <v>196561.708453333</v>
      </c>
      <c r="T104" s="509">
        <f t="shared" si="27"/>
        <v>202549.750933334</v>
      </c>
    </row>
    <row r="105" customHeight="1" spans="1:20">
      <c r="A105" s="10"/>
      <c r="B105" s="20" t="s">
        <v>120</v>
      </c>
      <c r="C105" s="21">
        <v>11</v>
      </c>
      <c r="D105" s="21"/>
      <c r="E105" s="93">
        <f>SUM(E94:E104)</f>
        <v>6621517.24999999</v>
      </c>
      <c r="F105" s="93">
        <f t="shared" ref="F105:T105" si="29">SUM(F94:F104)</f>
        <v>0</v>
      </c>
      <c r="G105" s="93">
        <f t="shared" si="29"/>
        <v>1410000</v>
      </c>
      <c r="H105" s="93">
        <f t="shared" si="29"/>
        <v>0</v>
      </c>
      <c r="I105" s="93">
        <f t="shared" si="29"/>
        <v>0</v>
      </c>
      <c r="J105" s="509">
        <f t="shared" si="28"/>
        <v>8031517.24999999</v>
      </c>
      <c r="K105" s="93">
        <f t="shared" si="29"/>
        <v>0</v>
      </c>
      <c r="L105" s="93">
        <f t="shared" si="29"/>
        <v>710000</v>
      </c>
      <c r="M105" s="93">
        <f t="shared" si="29"/>
        <v>534866.51</v>
      </c>
      <c r="N105" s="93">
        <f t="shared" si="29"/>
        <v>230000</v>
      </c>
      <c r="O105" s="93">
        <f t="shared" si="29"/>
        <v>29885.70625</v>
      </c>
      <c r="P105" s="93">
        <f t="shared" si="29"/>
        <v>1176663.966575</v>
      </c>
      <c r="Q105" s="93">
        <f t="shared" si="29"/>
        <v>529721.38</v>
      </c>
      <c r="R105" s="93">
        <f t="shared" si="29"/>
        <v>3211137.562825</v>
      </c>
      <c r="S105" s="93">
        <v>4731930.81318332</v>
      </c>
      <c r="T105" s="93">
        <f t="shared" si="29"/>
        <v>4820379.68717499</v>
      </c>
    </row>
    <row r="106" customHeight="1" spans="1:20">
      <c r="A106" s="10"/>
      <c r="B106" s="20"/>
      <c r="C106" s="21"/>
      <c r="D106" s="21"/>
      <c r="E106" s="146"/>
      <c r="F106" s="146"/>
      <c r="G106" s="220"/>
      <c r="H106" s="220"/>
      <c r="I106" s="146"/>
      <c r="J106" s="509">
        <f t="shared" si="28"/>
        <v>0</v>
      </c>
      <c r="K106" s="146"/>
      <c r="L106" s="146"/>
      <c r="M106" s="146"/>
      <c r="N106" s="146"/>
      <c r="O106" s="146"/>
      <c r="P106" s="146"/>
      <c r="Q106" s="146"/>
      <c r="R106" s="510"/>
      <c r="S106" s="85"/>
      <c r="T106" s="509"/>
    </row>
    <row r="107" customHeight="1" spans="1:20">
      <c r="A107" s="10"/>
      <c r="B107" s="20" t="s">
        <v>202</v>
      </c>
      <c r="C107" s="25"/>
      <c r="D107" s="21"/>
      <c r="E107" s="146"/>
      <c r="F107" s="146"/>
      <c r="G107" s="220"/>
      <c r="H107" s="220"/>
      <c r="I107" s="146"/>
      <c r="J107" s="509">
        <f t="shared" si="28"/>
        <v>0</v>
      </c>
      <c r="K107" s="146"/>
      <c r="L107" s="146"/>
      <c r="M107" s="146"/>
      <c r="N107" s="146"/>
      <c r="O107" s="146"/>
      <c r="P107" s="146"/>
      <c r="Q107" s="146"/>
      <c r="R107" s="510"/>
      <c r="S107" s="85"/>
      <c r="T107" s="509"/>
    </row>
    <row r="108" customHeight="1" spans="1:20">
      <c r="A108" s="10">
        <v>1</v>
      </c>
      <c r="B108" s="11" t="s">
        <v>203</v>
      </c>
      <c r="C108" s="4" t="s">
        <v>204</v>
      </c>
      <c r="D108" s="10" t="s">
        <v>140</v>
      </c>
      <c r="E108" s="85">
        <v>1697359.33333333</v>
      </c>
      <c r="F108" s="85"/>
      <c r="G108" s="220">
        <f>200000</f>
        <v>200000</v>
      </c>
      <c r="H108" s="220"/>
      <c r="I108" s="85"/>
      <c r="J108" s="509">
        <f t="shared" si="28"/>
        <v>1897359.33333333</v>
      </c>
      <c r="K108" s="85"/>
      <c r="L108" s="85">
        <f>30000</f>
        <v>30000</v>
      </c>
      <c r="M108" s="85">
        <v>98750</v>
      </c>
      <c r="N108" s="85"/>
      <c r="O108" s="85">
        <v>26406.8208333333</v>
      </c>
      <c r="P108" s="85">
        <v>316884.390824999</v>
      </c>
      <c r="Q108" s="85">
        <v>135788.746666666</v>
      </c>
      <c r="R108" s="510">
        <f>P108+O108+M108+N108+L108+K108+Q108</f>
        <v>607829.958324999</v>
      </c>
      <c r="S108" s="85">
        <v>1258231.66932</v>
      </c>
      <c r="T108" s="509">
        <f>J108-R108</f>
        <v>1289529.37500833</v>
      </c>
    </row>
    <row r="109" customHeight="1" spans="1:20">
      <c r="A109" s="10">
        <v>2</v>
      </c>
      <c r="B109" s="11" t="s">
        <v>205</v>
      </c>
      <c r="C109" s="4" t="s">
        <v>206</v>
      </c>
      <c r="D109" s="10" t="s">
        <v>207</v>
      </c>
      <c r="E109" s="85">
        <v>879008.916666667</v>
      </c>
      <c r="F109" s="85"/>
      <c r="G109" s="220">
        <f>180000</f>
        <v>180000</v>
      </c>
      <c r="H109" s="220"/>
      <c r="I109" s="85">
        <f>100000+100000</f>
        <v>200000</v>
      </c>
      <c r="J109" s="509">
        <f t="shared" si="28"/>
        <v>1259008.91666667</v>
      </c>
      <c r="K109" s="85"/>
      <c r="L109" s="85"/>
      <c r="M109" s="85"/>
      <c r="N109" s="85"/>
      <c r="O109" s="85"/>
      <c r="P109" s="85">
        <v>202124.522700001</v>
      </c>
      <c r="Q109" s="85">
        <v>70320.7133333334</v>
      </c>
      <c r="R109" s="510">
        <f t="shared" ref="R109:R120" si="30">P109+O109+M109+N109+L109+K109+Q109</f>
        <v>272445.236033334</v>
      </c>
      <c r="S109" s="85">
        <v>962244.644239997</v>
      </c>
      <c r="T109" s="509">
        <f t="shared" ref="T109:T120" si="31">J109-R109</f>
        <v>986563.680633336</v>
      </c>
    </row>
    <row r="110" customHeight="1" spans="1:20">
      <c r="A110" s="10">
        <v>3</v>
      </c>
      <c r="B110" s="11" t="s">
        <v>208</v>
      </c>
      <c r="C110" s="4" t="s">
        <v>142</v>
      </c>
      <c r="D110" s="10" t="s">
        <v>38</v>
      </c>
      <c r="E110" s="85">
        <v>744477</v>
      </c>
      <c r="F110" s="85"/>
      <c r="G110" s="220">
        <v>160000</v>
      </c>
      <c r="H110" s="220"/>
      <c r="I110" s="85"/>
      <c r="J110" s="509">
        <f t="shared" si="28"/>
        <v>904477</v>
      </c>
      <c r="K110" s="85"/>
      <c r="L110" s="85">
        <f>50000</f>
        <v>50000</v>
      </c>
      <c r="M110" s="220"/>
      <c r="N110" s="220"/>
      <c r="O110" s="85"/>
      <c r="P110" s="85">
        <v>134585.3912</v>
      </c>
      <c r="Q110" s="85">
        <v>59558.16</v>
      </c>
      <c r="R110" s="510">
        <f t="shared" si="30"/>
        <v>244143.5512</v>
      </c>
      <c r="S110" s="85">
        <v>637761.924213333</v>
      </c>
      <c r="T110" s="509">
        <f t="shared" si="31"/>
        <v>660333.4488</v>
      </c>
    </row>
    <row r="111" ht="21.6" customHeight="1" spans="1:20">
      <c r="A111" s="10">
        <v>4</v>
      </c>
      <c r="B111" s="11" t="s">
        <v>209</v>
      </c>
      <c r="C111" s="4" t="s">
        <v>51</v>
      </c>
      <c r="D111" s="15" t="s">
        <v>46</v>
      </c>
      <c r="E111" s="85">
        <v>573911.083333334</v>
      </c>
      <c r="F111" s="85"/>
      <c r="G111" s="220">
        <f>140000</f>
        <v>140000</v>
      </c>
      <c r="H111" s="220"/>
      <c r="I111" s="85">
        <v>0</v>
      </c>
      <c r="J111" s="509">
        <f t="shared" si="28"/>
        <v>713911.083333334</v>
      </c>
      <c r="K111" s="85"/>
      <c r="L111" s="85">
        <f>50000</f>
        <v>50000</v>
      </c>
      <c r="M111" s="85"/>
      <c r="N111" s="85"/>
      <c r="O111" s="85">
        <v>8926.66666666668</v>
      </c>
      <c r="P111" s="85">
        <v>101132.8754</v>
      </c>
      <c r="Q111" s="85">
        <v>45912.8866666667</v>
      </c>
      <c r="R111" s="510">
        <f t="shared" si="30"/>
        <v>205972.428733333</v>
      </c>
      <c r="S111" s="85">
        <v>492346.995216666</v>
      </c>
      <c r="T111" s="509">
        <f t="shared" si="31"/>
        <v>507938.6546</v>
      </c>
    </row>
    <row r="112" ht="21.6" customHeight="1" spans="1:20">
      <c r="A112" s="10">
        <v>5</v>
      </c>
      <c r="B112" s="11" t="s">
        <v>210</v>
      </c>
      <c r="C112" s="4" t="s">
        <v>51</v>
      </c>
      <c r="D112" s="15" t="s">
        <v>46</v>
      </c>
      <c r="E112" s="85">
        <v>573911.083333334</v>
      </c>
      <c r="F112" s="85"/>
      <c r="G112" s="220">
        <f>140000</f>
        <v>140000</v>
      </c>
      <c r="H112" s="220"/>
      <c r="I112" s="85">
        <v>0</v>
      </c>
      <c r="J112" s="509">
        <f t="shared" si="28"/>
        <v>713911.083333334</v>
      </c>
      <c r="K112" s="85"/>
      <c r="L112" s="85">
        <v>0</v>
      </c>
      <c r="M112" s="85">
        <v>0</v>
      </c>
      <c r="N112" s="85">
        <v>50000</v>
      </c>
      <c r="O112" s="85">
        <v>8926.66666666668</v>
      </c>
      <c r="P112" s="85">
        <v>101132.8754</v>
      </c>
      <c r="Q112" s="85">
        <v>45912.8866666667</v>
      </c>
      <c r="R112" s="510">
        <f t="shared" si="30"/>
        <v>205972.428733333</v>
      </c>
      <c r="S112" s="85">
        <v>492347.915216666</v>
      </c>
      <c r="T112" s="509">
        <f t="shared" si="31"/>
        <v>507938.6546</v>
      </c>
    </row>
    <row r="113" ht="21.6" customHeight="1" spans="1:20">
      <c r="A113" s="10">
        <v>6</v>
      </c>
      <c r="B113" s="11" t="s">
        <v>211</v>
      </c>
      <c r="C113" s="12" t="s">
        <v>51</v>
      </c>
      <c r="D113" s="15" t="s">
        <v>212</v>
      </c>
      <c r="E113" s="85">
        <v>558166.25</v>
      </c>
      <c r="F113" s="85"/>
      <c r="G113" s="220">
        <f>140000</f>
        <v>140000</v>
      </c>
      <c r="H113" s="220"/>
      <c r="I113" s="85">
        <v>0</v>
      </c>
      <c r="J113" s="509">
        <f t="shared" si="28"/>
        <v>698166.25</v>
      </c>
      <c r="K113" s="85"/>
      <c r="L113" s="85">
        <f>100000-100000</f>
        <v>0</v>
      </c>
      <c r="M113" s="85"/>
      <c r="N113" s="85"/>
      <c r="O113" s="85"/>
      <c r="P113" s="85">
        <v>100132.331</v>
      </c>
      <c r="Q113" s="85">
        <v>44653.3</v>
      </c>
      <c r="R113" s="510">
        <f t="shared" si="30"/>
        <v>144785.631</v>
      </c>
      <c r="S113" s="85">
        <v>537666.292853333</v>
      </c>
      <c r="T113" s="509">
        <f t="shared" si="31"/>
        <v>553380.619</v>
      </c>
    </row>
    <row r="114" ht="21.6" customHeight="1" spans="1:20">
      <c r="A114" s="10">
        <v>7</v>
      </c>
      <c r="B114" s="11" t="s">
        <v>213</v>
      </c>
      <c r="C114" s="17" t="s">
        <v>71</v>
      </c>
      <c r="D114" s="15" t="s">
        <v>170</v>
      </c>
      <c r="E114" s="85">
        <v>482662.666666667</v>
      </c>
      <c r="F114" s="85"/>
      <c r="G114" s="220">
        <f t="shared" ref="G114" si="32">110000</f>
        <v>110000</v>
      </c>
      <c r="H114" s="220"/>
      <c r="I114" s="85">
        <v>0</v>
      </c>
      <c r="J114" s="509">
        <f t="shared" si="28"/>
        <v>592662.666666667</v>
      </c>
      <c r="K114" s="85"/>
      <c r="L114" s="85">
        <f>20000</f>
        <v>20000</v>
      </c>
      <c r="M114" s="85">
        <v>112500</v>
      </c>
      <c r="N114" s="85">
        <v>20000</v>
      </c>
      <c r="O114" s="85"/>
      <c r="P114" s="85">
        <v>82228.9376</v>
      </c>
      <c r="Q114" s="85">
        <v>38613.0133333334</v>
      </c>
      <c r="R114" s="510">
        <f t="shared" si="30"/>
        <v>273341.950933333</v>
      </c>
      <c r="S114" s="85">
        <v>306221.439306667</v>
      </c>
      <c r="T114" s="509">
        <f t="shared" si="31"/>
        <v>319320.715733333</v>
      </c>
    </row>
    <row r="115" ht="21.6" customHeight="1" spans="1:20">
      <c r="A115" s="10">
        <v>8</v>
      </c>
      <c r="B115" s="11" t="s">
        <v>214</v>
      </c>
      <c r="C115" s="17" t="s">
        <v>167</v>
      </c>
      <c r="D115" s="15" t="s">
        <v>215</v>
      </c>
      <c r="E115" s="85">
        <v>512098.916666667</v>
      </c>
      <c r="F115" s="85"/>
      <c r="G115" s="220">
        <v>120000</v>
      </c>
      <c r="H115" s="220"/>
      <c r="I115" s="85">
        <v>0</v>
      </c>
      <c r="J115" s="509">
        <f t="shared" si="28"/>
        <v>632098.916666667</v>
      </c>
      <c r="K115" s="85"/>
      <c r="L115" s="85">
        <v>0</v>
      </c>
      <c r="M115" s="85"/>
      <c r="N115" s="85">
        <v>30000</v>
      </c>
      <c r="O115" s="85">
        <v>8008.97708333333</v>
      </c>
      <c r="P115" s="85">
        <v>87461.964725</v>
      </c>
      <c r="Q115" s="85">
        <v>40967.9133333333</v>
      </c>
      <c r="R115" s="510">
        <f t="shared" si="30"/>
        <v>166438.855141667</v>
      </c>
      <c r="S115" s="85">
        <v>451798.877123333</v>
      </c>
      <c r="T115" s="509">
        <f t="shared" si="31"/>
        <v>465660.061525</v>
      </c>
    </row>
    <row r="116" s="1" customFormat="1" customHeight="1" spans="1:20">
      <c r="A116" s="10">
        <v>9</v>
      </c>
      <c r="B116" s="18" t="s">
        <v>216</v>
      </c>
      <c r="C116" s="4" t="s">
        <v>148</v>
      </c>
      <c r="D116" s="15" t="s">
        <v>131</v>
      </c>
      <c r="E116" s="220">
        <v>454993.583333333</v>
      </c>
      <c r="F116" s="85"/>
      <c r="G116" s="220">
        <f>110000</f>
        <v>110000</v>
      </c>
      <c r="H116" s="220"/>
      <c r="I116" s="85"/>
      <c r="J116" s="509">
        <f t="shared" si="28"/>
        <v>564993.583333333</v>
      </c>
      <c r="K116" s="85"/>
      <c r="L116" s="85">
        <v>40000</v>
      </c>
      <c r="M116" s="85">
        <v>60000</v>
      </c>
      <c r="N116" s="85"/>
      <c r="O116" s="85"/>
      <c r="P116" s="85">
        <v>77646.9374</v>
      </c>
      <c r="Q116" s="85">
        <v>36399.4866666666</v>
      </c>
      <c r="R116" s="510">
        <f t="shared" si="30"/>
        <v>214046.424066667</v>
      </c>
      <c r="S116" s="85">
        <v>338153.287573333</v>
      </c>
      <c r="T116" s="509">
        <f t="shared" si="31"/>
        <v>350947.159266667</v>
      </c>
    </row>
    <row r="117" ht="21.6" customHeight="1" spans="1:20">
      <c r="A117" s="10">
        <v>10</v>
      </c>
      <c r="B117" s="11" t="s">
        <v>217</v>
      </c>
      <c r="C117" s="4" t="s">
        <v>218</v>
      </c>
      <c r="D117" s="10" t="s">
        <v>151</v>
      </c>
      <c r="E117" s="220">
        <v>399131.166666667</v>
      </c>
      <c r="F117" s="85"/>
      <c r="G117" s="220">
        <v>100000</v>
      </c>
      <c r="H117" s="220"/>
      <c r="I117" s="85"/>
      <c r="J117" s="509">
        <f t="shared" si="28"/>
        <v>499131.166666667</v>
      </c>
      <c r="K117" s="85"/>
      <c r="L117" s="85"/>
      <c r="M117" s="85"/>
      <c r="N117" s="85"/>
      <c r="O117" s="85"/>
      <c r="P117" s="85">
        <v>66596.1212000001</v>
      </c>
      <c r="Q117" s="85">
        <v>31930.4933333334</v>
      </c>
      <c r="R117" s="510">
        <f t="shared" si="30"/>
        <v>98526.6145333335</v>
      </c>
      <c r="S117" s="85">
        <v>392144.7064</v>
      </c>
      <c r="T117" s="509">
        <f t="shared" si="31"/>
        <v>400604.552133334</v>
      </c>
    </row>
    <row r="118" s="1" customFormat="1" ht="18.75" customHeight="1" spans="1:20">
      <c r="A118" s="10">
        <v>11</v>
      </c>
      <c r="B118" s="18" t="s">
        <v>219</v>
      </c>
      <c r="C118" s="4" t="s">
        <v>150</v>
      </c>
      <c r="D118" s="10" t="s">
        <v>99</v>
      </c>
      <c r="E118" s="85">
        <v>338711.666666667</v>
      </c>
      <c r="F118" s="85"/>
      <c r="G118" s="220">
        <f>100000</f>
        <v>100000</v>
      </c>
      <c r="H118" s="220"/>
      <c r="I118" s="85"/>
      <c r="J118" s="509">
        <f t="shared" si="28"/>
        <v>438711.666666667</v>
      </c>
      <c r="K118" s="85"/>
      <c r="L118" s="85"/>
      <c r="M118" s="85"/>
      <c r="N118" s="85">
        <v>30000</v>
      </c>
      <c r="O118" s="85"/>
      <c r="P118" s="85">
        <v>56590.6520000001</v>
      </c>
      <c r="Q118" s="85">
        <v>27096.9333333334</v>
      </c>
      <c r="R118" s="510">
        <f t="shared" si="30"/>
        <v>113687.585333333</v>
      </c>
      <c r="S118" s="85">
        <v>317744.7428</v>
      </c>
      <c r="T118" s="509">
        <f t="shared" si="31"/>
        <v>325024.081333334</v>
      </c>
    </row>
    <row r="119" s="1" customFormat="1" ht="18.75" customHeight="1" spans="1:20">
      <c r="A119" s="10">
        <v>12</v>
      </c>
      <c r="B119" s="18" t="s">
        <v>220</v>
      </c>
      <c r="C119" s="4" t="s">
        <v>150</v>
      </c>
      <c r="D119" s="10" t="s">
        <v>99</v>
      </c>
      <c r="E119" s="85">
        <v>338711.666666667</v>
      </c>
      <c r="F119" s="85"/>
      <c r="G119" s="220">
        <f>100000</f>
        <v>100000</v>
      </c>
      <c r="H119" s="220"/>
      <c r="I119" s="85"/>
      <c r="J119" s="509">
        <f t="shared" si="28"/>
        <v>438711.666666667</v>
      </c>
      <c r="K119" s="85"/>
      <c r="L119" s="85"/>
      <c r="M119" s="85"/>
      <c r="N119" s="85">
        <v>30000</v>
      </c>
      <c r="O119" s="85"/>
      <c r="P119" s="85">
        <v>56590.6520000001</v>
      </c>
      <c r="Q119" s="85">
        <v>27096.9333333334</v>
      </c>
      <c r="R119" s="510">
        <f t="shared" si="30"/>
        <v>113687.585333333</v>
      </c>
      <c r="S119" s="85">
        <v>317744.7428</v>
      </c>
      <c r="T119" s="509">
        <f t="shared" si="31"/>
        <v>325024.081333334</v>
      </c>
    </row>
    <row r="120" ht="21.6" customHeight="1" spans="1:20">
      <c r="A120" s="10">
        <v>13</v>
      </c>
      <c r="B120" s="11" t="s">
        <v>221</v>
      </c>
      <c r="C120" s="17" t="s">
        <v>222</v>
      </c>
      <c r="D120" s="15" t="s">
        <v>223</v>
      </c>
      <c r="E120" s="220">
        <v>315930.583333333</v>
      </c>
      <c r="F120" s="85"/>
      <c r="G120" s="220">
        <f t="shared" ref="G120" si="33">100000</f>
        <v>100000</v>
      </c>
      <c r="H120" s="220"/>
      <c r="I120" s="85"/>
      <c r="J120" s="509">
        <f t="shared" si="28"/>
        <v>415930.583333333</v>
      </c>
      <c r="K120" s="85"/>
      <c r="L120" s="85">
        <v>50000</v>
      </c>
      <c r="M120" s="85"/>
      <c r="N120" s="85"/>
      <c r="O120" s="85">
        <v>5118.36041666667</v>
      </c>
      <c r="P120" s="85">
        <v>51896.799725</v>
      </c>
      <c r="Q120" s="85">
        <v>25274.4466666667</v>
      </c>
      <c r="R120" s="510">
        <f t="shared" si="30"/>
        <v>132289.606808333</v>
      </c>
      <c r="S120" s="85">
        <v>276758.86469</v>
      </c>
      <c r="T120" s="509">
        <f t="shared" si="31"/>
        <v>283640.976525</v>
      </c>
    </row>
    <row r="121" customHeight="1" spans="1:20">
      <c r="A121" s="10"/>
      <c r="B121" s="20" t="s">
        <v>120</v>
      </c>
      <c r="C121" s="21">
        <v>13</v>
      </c>
      <c r="D121" s="21"/>
      <c r="E121" s="93">
        <f>SUM(E108:E120)</f>
        <v>7869073.91666667</v>
      </c>
      <c r="F121" s="93">
        <f t="shared" ref="F121:T121" si="34">SUM(F108:F120)</f>
        <v>0</v>
      </c>
      <c r="G121" s="93">
        <f t="shared" si="34"/>
        <v>1700000</v>
      </c>
      <c r="H121" s="93">
        <f t="shared" si="34"/>
        <v>0</v>
      </c>
      <c r="I121" s="93">
        <f t="shared" si="34"/>
        <v>200000</v>
      </c>
      <c r="J121" s="509">
        <f t="shared" si="28"/>
        <v>9769073.91666667</v>
      </c>
      <c r="K121" s="93">
        <f t="shared" si="34"/>
        <v>0</v>
      </c>
      <c r="L121" s="93">
        <f t="shared" si="34"/>
        <v>240000</v>
      </c>
      <c r="M121" s="93">
        <f t="shared" si="34"/>
        <v>271250</v>
      </c>
      <c r="N121" s="93">
        <f t="shared" si="34"/>
        <v>160000</v>
      </c>
      <c r="O121" s="93">
        <f t="shared" si="34"/>
        <v>57387.4916666667</v>
      </c>
      <c r="P121" s="93">
        <f t="shared" si="34"/>
        <v>1435004.451175</v>
      </c>
      <c r="Q121" s="93">
        <f t="shared" si="34"/>
        <v>629525.913333333</v>
      </c>
      <c r="R121" s="93">
        <f t="shared" si="34"/>
        <v>2793167.856175</v>
      </c>
      <c r="S121" s="93">
        <v>6781166.10175333</v>
      </c>
      <c r="T121" s="93">
        <f t="shared" si="34"/>
        <v>6975906.06049167</v>
      </c>
    </row>
    <row r="122" customHeight="1" spans="1:20">
      <c r="A122" s="10"/>
      <c r="B122" s="22"/>
      <c r="C122" s="21"/>
      <c r="D122" s="21"/>
      <c r="E122" s="146"/>
      <c r="F122" s="146"/>
      <c r="G122" s="220"/>
      <c r="H122" s="220"/>
      <c r="I122" s="146"/>
      <c r="J122" s="509">
        <f t="shared" si="28"/>
        <v>0</v>
      </c>
      <c r="K122" s="146"/>
      <c r="L122" s="146"/>
      <c r="M122" s="146"/>
      <c r="N122" s="146"/>
      <c r="O122" s="146"/>
      <c r="P122" s="146"/>
      <c r="Q122" s="146"/>
      <c r="R122" s="517"/>
      <c r="S122" s="146"/>
      <c r="T122" s="516"/>
    </row>
    <row r="123" customHeight="1" spans="1:20">
      <c r="A123" s="10"/>
      <c r="B123" s="20" t="s">
        <v>224</v>
      </c>
      <c r="C123" s="21"/>
      <c r="D123" s="21"/>
      <c r="E123" s="146"/>
      <c r="F123" s="146"/>
      <c r="G123" s="220"/>
      <c r="H123" s="220"/>
      <c r="I123" s="146"/>
      <c r="J123" s="509">
        <f t="shared" si="28"/>
        <v>0</v>
      </c>
      <c r="K123" s="146"/>
      <c r="L123" s="146"/>
      <c r="M123" s="146"/>
      <c r="N123" s="146"/>
      <c r="O123" s="146"/>
      <c r="P123" s="146"/>
      <c r="Q123" s="146"/>
      <c r="R123" s="517"/>
      <c r="S123" s="146"/>
      <c r="T123" s="516"/>
    </row>
    <row r="124" customHeight="1" spans="1:20">
      <c r="A124" s="10">
        <v>1</v>
      </c>
      <c r="B124" s="14" t="s">
        <v>225</v>
      </c>
      <c r="C124" s="4" t="s">
        <v>226</v>
      </c>
      <c r="D124" s="16" t="s">
        <v>124</v>
      </c>
      <c r="E124" s="85">
        <v>1747106.41666666</v>
      </c>
      <c r="F124" s="85"/>
      <c r="G124" s="220"/>
      <c r="H124" s="220">
        <f>100000</f>
        <v>100000</v>
      </c>
      <c r="I124" s="85"/>
      <c r="J124" s="509">
        <f t="shared" si="28"/>
        <v>1847106.41666666</v>
      </c>
      <c r="K124" s="85"/>
      <c r="L124" s="85">
        <v>60000</v>
      </c>
      <c r="M124" s="85">
        <v>440000</v>
      </c>
      <c r="N124" s="85"/>
      <c r="O124" s="85">
        <v>27169.4270833333</v>
      </c>
      <c r="P124" s="85">
        <v>305335.380012499</v>
      </c>
      <c r="Q124" s="85">
        <v>139768.513333333</v>
      </c>
      <c r="R124" s="510">
        <f t="shared" ref="R124:R130" si="35">P124+O124+M124+N124+L124+K124+Q124</f>
        <v>972273.320429165</v>
      </c>
      <c r="S124" s="85">
        <v>842545.656126665</v>
      </c>
      <c r="T124" s="509">
        <f>J124-R124</f>
        <v>874833.096237495</v>
      </c>
    </row>
    <row r="125" customHeight="1" spans="1:20">
      <c r="A125" s="10">
        <v>2</v>
      </c>
      <c r="B125" s="11" t="s">
        <v>227</v>
      </c>
      <c r="C125" s="4" t="s">
        <v>228</v>
      </c>
      <c r="D125" s="15" t="s">
        <v>189</v>
      </c>
      <c r="E125" s="85">
        <v>589657</v>
      </c>
      <c r="F125" s="85"/>
      <c r="G125" s="220"/>
      <c r="H125" s="220">
        <v>70000</v>
      </c>
      <c r="I125" s="85">
        <v>0</v>
      </c>
      <c r="J125" s="509">
        <f t="shared" si="28"/>
        <v>659657</v>
      </c>
      <c r="K125" s="85"/>
      <c r="L125" s="85">
        <v>30000</v>
      </c>
      <c r="M125" s="85"/>
      <c r="N125" s="85">
        <v>100000</v>
      </c>
      <c r="O125" s="85"/>
      <c r="P125" s="85">
        <v>92747.1992</v>
      </c>
      <c r="Q125" s="85">
        <v>47172.56</v>
      </c>
      <c r="R125" s="510">
        <f t="shared" si="35"/>
        <v>269919.7592</v>
      </c>
      <c r="S125" s="85">
        <v>374515.87624</v>
      </c>
      <c r="T125" s="509">
        <f t="shared" ref="T125:T130" si="36">J125-R125</f>
        <v>389737.2408</v>
      </c>
    </row>
    <row r="126" customHeight="1" spans="1:20">
      <c r="A126" s="10">
        <v>3</v>
      </c>
      <c r="B126" s="11" t="s">
        <v>229</v>
      </c>
      <c r="C126" s="12" t="s">
        <v>230</v>
      </c>
      <c r="D126" s="15" t="s">
        <v>215</v>
      </c>
      <c r="E126" s="85">
        <v>512098.916666667</v>
      </c>
      <c r="F126" s="85"/>
      <c r="G126" s="220"/>
      <c r="H126" s="220">
        <f t="shared" ref="H126:H128" si="37">70000</f>
        <v>70000</v>
      </c>
      <c r="I126" s="85">
        <v>0</v>
      </c>
      <c r="J126" s="509">
        <f t="shared" ref="J126:J130" si="38">SUM(E126:I126)</f>
        <v>582098.916666667</v>
      </c>
      <c r="K126" s="85"/>
      <c r="L126" s="85">
        <v>40000</v>
      </c>
      <c r="M126" s="85">
        <v>87500</v>
      </c>
      <c r="N126" s="85"/>
      <c r="O126" s="85">
        <v>8008.97708333333</v>
      </c>
      <c r="P126" s="85">
        <v>78461.964725</v>
      </c>
      <c r="Q126" s="85">
        <v>40967.9133333334</v>
      </c>
      <c r="R126" s="510">
        <f t="shared" si="35"/>
        <v>254938.855141667</v>
      </c>
      <c r="S126" s="85">
        <v>313898.877123333</v>
      </c>
      <c r="T126" s="509">
        <f t="shared" si="36"/>
        <v>327160.061525</v>
      </c>
    </row>
    <row r="127" s="1" customFormat="1" customHeight="1" spans="1:20">
      <c r="A127" s="10">
        <v>4</v>
      </c>
      <c r="B127" s="11" t="s">
        <v>231</v>
      </c>
      <c r="C127" s="4" t="s">
        <v>232</v>
      </c>
      <c r="D127" s="15" t="s">
        <v>63</v>
      </c>
      <c r="E127" s="85">
        <v>497472.75</v>
      </c>
      <c r="F127" s="85"/>
      <c r="G127" s="220"/>
      <c r="H127" s="220">
        <f t="shared" si="37"/>
        <v>70000</v>
      </c>
      <c r="I127" s="85">
        <v>0</v>
      </c>
      <c r="J127" s="510">
        <f t="shared" si="38"/>
        <v>567472.75</v>
      </c>
      <c r="K127" s="85"/>
      <c r="L127" s="85">
        <v>150000</v>
      </c>
      <c r="M127" s="85">
        <v>103000</v>
      </c>
      <c r="N127" s="85"/>
      <c r="O127" s="85">
        <v>7791.83125</v>
      </c>
      <c r="P127" s="686">
        <v>76078.957775</v>
      </c>
      <c r="Q127" s="85">
        <v>39797.82</v>
      </c>
      <c r="R127" s="510">
        <f t="shared" si="35"/>
        <v>376668.609025</v>
      </c>
      <c r="S127" s="85">
        <v>176247.47952</v>
      </c>
      <c r="T127" s="509">
        <f t="shared" si="36"/>
        <v>190804.140975</v>
      </c>
    </row>
    <row r="128" customHeight="1" spans="1:20">
      <c r="A128" s="10">
        <v>5</v>
      </c>
      <c r="B128" s="11" t="s">
        <v>233</v>
      </c>
      <c r="C128" s="4" t="s">
        <v>232</v>
      </c>
      <c r="D128" s="15" t="s">
        <v>63</v>
      </c>
      <c r="E128" s="85">
        <v>497472.75</v>
      </c>
      <c r="F128" s="85"/>
      <c r="G128" s="220"/>
      <c r="H128" s="220">
        <f t="shared" si="37"/>
        <v>70000</v>
      </c>
      <c r="I128" s="85"/>
      <c r="J128" s="509">
        <f>E128+F128+G128+H128+I128</f>
        <v>567472.75</v>
      </c>
      <c r="K128" s="85"/>
      <c r="L128" s="85">
        <f>5000</f>
        <v>5000</v>
      </c>
      <c r="M128" s="85">
        <v>0</v>
      </c>
      <c r="N128" s="85"/>
      <c r="O128" s="85"/>
      <c r="P128" s="85">
        <v>77481.4874</v>
      </c>
      <c r="Q128" s="85">
        <v>39797.82</v>
      </c>
      <c r="R128" s="510">
        <f t="shared" si="35"/>
        <v>122279.3074</v>
      </c>
      <c r="S128" s="85">
        <v>431822.16952</v>
      </c>
      <c r="T128" s="509">
        <f t="shared" si="36"/>
        <v>445193.4426</v>
      </c>
    </row>
    <row r="129" customHeight="1" spans="1:20">
      <c r="A129" s="10">
        <v>6</v>
      </c>
      <c r="B129" s="11" t="s">
        <v>234</v>
      </c>
      <c r="C129" s="4" t="s">
        <v>197</v>
      </c>
      <c r="D129" s="15" t="s">
        <v>151</v>
      </c>
      <c r="E129" s="220">
        <v>399131.166666667</v>
      </c>
      <c r="F129" s="85"/>
      <c r="G129" s="220"/>
      <c r="H129" s="220">
        <f>60000</f>
        <v>60000</v>
      </c>
      <c r="I129" s="85"/>
      <c r="J129" s="509">
        <f>E129+F129+G129+H129+I129</f>
        <v>459131.166666667</v>
      </c>
      <c r="K129" s="85"/>
      <c r="L129" s="85">
        <f>10000+80000</f>
        <v>90000</v>
      </c>
      <c r="M129" s="85">
        <f>19583.33</f>
        <v>19583.33</v>
      </c>
      <c r="N129" s="85"/>
      <c r="O129" s="85"/>
      <c r="P129" s="85">
        <v>59396.1212000001</v>
      </c>
      <c r="Q129" s="85">
        <v>31930.4933333334</v>
      </c>
      <c r="R129" s="510">
        <f t="shared" si="35"/>
        <v>200909.944533333</v>
      </c>
      <c r="S129" s="85">
        <v>250241.376400001</v>
      </c>
      <c r="T129" s="509">
        <f t="shared" si="36"/>
        <v>258221.222133334</v>
      </c>
    </row>
    <row r="130" s="1" customFormat="1" customHeight="1" spans="1:20">
      <c r="A130" s="10">
        <v>7</v>
      </c>
      <c r="B130" s="18" t="s">
        <v>235</v>
      </c>
      <c r="C130" s="12" t="s">
        <v>236</v>
      </c>
      <c r="D130" s="15" t="s">
        <v>74</v>
      </c>
      <c r="E130" s="85">
        <v>381140.666666666</v>
      </c>
      <c r="F130" s="85"/>
      <c r="G130" s="220"/>
      <c r="H130" s="220">
        <v>60000</v>
      </c>
      <c r="I130" s="85"/>
      <c r="J130" s="510">
        <f t="shared" si="38"/>
        <v>441140.666666666</v>
      </c>
      <c r="K130" s="85"/>
      <c r="L130" s="686"/>
      <c r="M130" s="686"/>
      <c r="N130" s="686"/>
      <c r="O130" s="4"/>
      <c r="P130" s="686">
        <v>56416.8943999999</v>
      </c>
      <c r="Q130" s="687">
        <v>30491.2533333333</v>
      </c>
      <c r="R130" s="510">
        <f t="shared" si="35"/>
        <v>86908.1477333332</v>
      </c>
      <c r="S130" s="85">
        <v>346451.28832</v>
      </c>
      <c r="T130" s="509">
        <f t="shared" si="36"/>
        <v>354232.518933333</v>
      </c>
    </row>
    <row r="131" customHeight="1" spans="1:20">
      <c r="A131" s="4"/>
      <c r="B131" s="20" t="s">
        <v>120</v>
      </c>
      <c r="C131" s="21">
        <v>7</v>
      </c>
      <c r="D131" s="26"/>
      <c r="E131" s="93">
        <f>SUM(E124:E130)</f>
        <v>4624079.66666666</v>
      </c>
      <c r="F131" s="93">
        <f t="shared" ref="F131:T131" si="39">SUM(F124:F130)</f>
        <v>0</v>
      </c>
      <c r="G131" s="93">
        <f t="shared" si="39"/>
        <v>0</v>
      </c>
      <c r="H131" s="93">
        <f t="shared" si="39"/>
        <v>500000</v>
      </c>
      <c r="I131" s="93">
        <f t="shared" si="39"/>
        <v>0</v>
      </c>
      <c r="J131" s="93">
        <f t="shared" si="39"/>
        <v>5124079.66666666</v>
      </c>
      <c r="K131" s="93">
        <f t="shared" si="39"/>
        <v>0</v>
      </c>
      <c r="L131" s="93">
        <f t="shared" si="39"/>
        <v>375000</v>
      </c>
      <c r="M131" s="93">
        <f t="shared" si="39"/>
        <v>650083.33</v>
      </c>
      <c r="N131" s="93">
        <f t="shared" si="39"/>
        <v>100000</v>
      </c>
      <c r="O131" s="93">
        <f t="shared" si="39"/>
        <v>42970.2354166666</v>
      </c>
      <c r="P131" s="93">
        <f t="shared" si="39"/>
        <v>745918.004712499</v>
      </c>
      <c r="Q131" s="93">
        <f t="shared" si="39"/>
        <v>369926.373333333</v>
      </c>
      <c r="R131" s="93">
        <f t="shared" si="39"/>
        <v>2283897.9434625</v>
      </c>
      <c r="S131" s="93">
        <v>2735722.72325</v>
      </c>
      <c r="T131" s="93">
        <f t="shared" si="39"/>
        <v>2840181.72320416</v>
      </c>
    </row>
    <row r="132" customHeight="1" spans="1:20">
      <c r="A132" s="4"/>
      <c r="B132" s="22"/>
      <c r="C132" s="21"/>
      <c r="D132" s="26"/>
      <c r="E132" s="146"/>
      <c r="F132" s="146"/>
      <c r="G132" s="220"/>
      <c r="H132" s="220"/>
      <c r="I132" s="146"/>
      <c r="J132" s="516"/>
      <c r="K132" s="146"/>
      <c r="L132" s="146"/>
      <c r="M132" s="146"/>
      <c r="N132" s="146"/>
      <c r="O132" s="146"/>
      <c r="P132" s="146"/>
      <c r="Q132" s="146"/>
      <c r="R132" s="517"/>
      <c r="S132" s="146"/>
      <c r="T132" s="516"/>
    </row>
    <row r="133" customHeight="1" spans="1:20">
      <c r="A133" s="4"/>
      <c r="B133" s="20" t="s">
        <v>237</v>
      </c>
      <c r="C133" s="4"/>
      <c r="D133" s="4"/>
      <c r="E133" s="4"/>
      <c r="F133" s="4"/>
      <c r="G133" s="220"/>
      <c r="H133" s="220"/>
      <c r="I133" s="4"/>
      <c r="J133" s="520"/>
      <c r="K133" s="4"/>
      <c r="L133" s="4"/>
      <c r="M133" s="4"/>
      <c r="N133" s="4"/>
      <c r="O133" s="4"/>
      <c r="P133" s="4"/>
      <c r="Q133" s="4"/>
      <c r="R133" s="521"/>
      <c r="S133" s="4"/>
      <c r="T133" s="520"/>
    </row>
    <row r="134" customHeight="1" spans="1:20">
      <c r="A134" s="4">
        <v>1</v>
      </c>
      <c r="B134" s="11" t="s">
        <v>238</v>
      </c>
      <c r="C134" s="12" t="s">
        <v>239</v>
      </c>
      <c r="D134" s="15" t="s">
        <v>124</v>
      </c>
      <c r="E134" s="85">
        <v>1747106.41666666</v>
      </c>
      <c r="F134" s="85"/>
      <c r="G134" s="220">
        <f>200000</f>
        <v>200000</v>
      </c>
      <c r="H134" s="220"/>
      <c r="I134" s="85">
        <v>0</v>
      </c>
      <c r="J134" s="509">
        <f>SUM(E134:I134)</f>
        <v>1947106.41666666</v>
      </c>
      <c r="K134" s="85"/>
      <c r="L134" s="85">
        <f>100000</f>
        <v>100000</v>
      </c>
      <c r="M134" s="85">
        <v>0</v>
      </c>
      <c r="N134" s="85"/>
      <c r="O134" s="85"/>
      <c r="P134" s="85">
        <v>332040.959699999</v>
      </c>
      <c r="Q134" s="85">
        <v>139768.513333333</v>
      </c>
      <c r="R134" s="510">
        <f>P134+O134+M134+N134+L134+K134+Q134</f>
        <v>571809.473033332</v>
      </c>
      <c r="S134" s="85">
        <v>1381662.35922666</v>
      </c>
      <c r="T134" s="509">
        <f>J134-R134</f>
        <v>1375296.94363333</v>
      </c>
    </row>
    <row r="135" customHeight="1" spans="1:20">
      <c r="A135" s="4">
        <v>2</v>
      </c>
      <c r="B135" s="11" t="s">
        <v>240</v>
      </c>
      <c r="C135" s="4" t="s">
        <v>241</v>
      </c>
      <c r="D135" s="16" t="s">
        <v>35</v>
      </c>
      <c r="E135" s="85">
        <v>905306.75</v>
      </c>
      <c r="F135" s="85"/>
      <c r="G135" s="220">
        <f>160000+20000</f>
        <v>180000</v>
      </c>
      <c r="H135" s="220"/>
      <c r="I135" s="85">
        <v>0</v>
      </c>
      <c r="J135" s="509">
        <f t="shared" ref="J135:J144" si="40">SUM(E135:I135)</f>
        <v>1085306.75</v>
      </c>
      <c r="K135" s="85"/>
      <c r="L135" s="85">
        <v>110000</v>
      </c>
      <c r="M135" s="85"/>
      <c r="N135" s="85"/>
      <c r="O135" s="85">
        <v>13866.7375</v>
      </c>
      <c r="P135" s="85">
        <v>162322.78505</v>
      </c>
      <c r="Q135" s="85">
        <v>72424.54</v>
      </c>
      <c r="R135" s="510">
        <f t="shared" ref="R135:R144" si="41">P135+O135+M135+N135+L135+K135+Q135</f>
        <v>358614.06255</v>
      </c>
      <c r="S135" s="85">
        <v>718537.835113333</v>
      </c>
      <c r="T135" s="509">
        <f t="shared" ref="T135:T144" si="42">J135-R135</f>
        <v>726692.68745</v>
      </c>
    </row>
    <row r="136" customHeight="1" spans="1:20">
      <c r="A136" s="4">
        <v>3</v>
      </c>
      <c r="B136" s="11" t="s">
        <v>242</v>
      </c>
      <c r="C136" s="4" t="s">
        <v>243</v>
      </c>
      <c r="D136" s="10" t="s">
        <v>212</v>
      </c>
      <c r="E136" s="85">
        <v>558165.25</v>
      </c>
      <c r="F136" s="85"/>
      <c r="G136" s="220">
        <f>140000</f>
        <v>140000</v>
      </c>
      <c r="H136" s="220"/>
      <c r="I136" s="85">
        <v>59666.145</v>
      </c>
      <c r="J136" s="509">
        <f t="shared" si="40"/>
        <v>757831.395</v>
      </c>
      <c r="K136" s="85"/>
      <c r="L136" s="85">
        <v>30000</v>
      </c>
      <c r="M136" s="85">
        <f>61111.11</f>
        <v>61111.11</v>
      </c>
      <c r="N136" s="85">
        <v>30000</v>
      </c>
      <c r="O136" s="85">
        <v>8692.89791666667</v>
      </c>
      <c r="P136" s="85">
        <v>109307.349875</v>
      </c>
      <c r="Q136" s="85">
        <v>44653.22</v>
      </c>
      <c r="R136" s="510">
        <f t="shared" si="41"/>
        <v>283764.577791667</v>
      </c>
      <c r="S136" s="85">
        <v>457910.997723333</v>
      </c>
      <c r="T136" s="509">
        <f t="shared" si="42"/>
        <v>474066.817208333</v>
      </c>
    </row>
    <row r="137" customHeight="1" spans="1:20">
      <c r="A137" s="4">
        <v>4</v>
      </c>
      <c r="B137" s="11" t="s">
        <v>244</v>
      </c>
      <c r="C137" s="4" t="s">
        <v>243</v>
      </c>
      <c r="D137" s="10" t="s">
        <v>212</v>
      </c>
      <c r="E137" s="85">
        <v>558165.25</v>
      </c>
      <c r="F137" s="85"/>
      <c r="G137" s="220">
        <f>140000</f>
        <v>140000</v>
      </c>
      <c r="H137" s="220"/>
      <c r="I137" s="85">
        <v>59666.145</v>
      </c>
      <c r="J137" s="509">
        <f t="shared" si="40"/>
        <v>757831.395</v>
      </c>
      <c r="K137" s="85"/>
      <c r="L137" s="85">
        <f>50000</f>
        <v>50000</v>
      </c>
      <c r="M137" s="85">
        <v>45833.33</v>
      </c>
      <c r="N137" s="85"/>
      <c r="O137" s="85"/>
      <c r="P137" s="85">
        <v>110872.0715</v>
      </c>
      <c r="Q137" s="85">
        <v>44653.22</v>
      </c>
      <c r="R137" s="510">
        <f t="shared" si="41"/>
        <v>251358.6215</v>
      </c>
      <c r="S137" s="85">
        <v>490026.800973333</v>
      </c>
      <c r="T137" s="509">
        <f t="shared" si="42"/>
        <v>506472.7735</v>
      </c>
    </row>
    <row r="138" s="1" customFormat="1" customHeight="1" spans="1:20">
      <c r="A138" s="4">
        <v>5</v>
      </c>
      <c r="B138" s="18" t="s">
        <v>245</v>
      </c>
      <c r="C138" s="4" t="s">
        <v>246</v>
      </c>
      <c r="D138" s="15" t="s">
        <v>131</v>
      </c>
      <c r="E138" s="220">
        <v>454993.583333333</v>
      </c>
      <c r="F138" s="85"/>
      <c r="G138" s="220">
        <f>110000</f>
        <v>110000</v>
      </c>
      <c r="H138" s="220"/>
      <c r="I138" s="85">
        <v>48527.49</v>
      </c>
      <c r="J138" s="509">
        <f t="shared" si="40"/>
        <v>613521.073333333</v>
      </c>
      <c r="K138" s="85"/>
      <c r="L138" s="85">
        <v>102000</v>
      </c>
      <c r="M138" s="85"/>
      <c r="N138" s="85"/>
      <c r="O138" s="85"/>
      <c r="P138" s="85">
        <v>86381.8855999999</v>
      </c>
      <c r="Q138" s="85">
        <v>36399.4866666666</v>
      </c>
      <c r="R138" s="510">
        <f t="shared" si="41"/>
        <v>224781.372266667</v>
      </c>
      <c r="S138" s="85">
        <v>477363.499493333</v>
      </c>
      <c r="T138" s="509">
        <f t="shared" si="42"/>
        <v>388739.701066667</v>
      </c>
    </row>
    <row r="139" customHeight="1" spans="1:20">
      <c r="A139" s="4">
        <v>6</v>
      </c>
      <c r="B139" s="11" t="s">
        <v>247</v>
      </c>
      <c r="C139" s="4" t="s">
        <v>248</v>
      </c>
      <c r="D139" s="15" t="s">
        <v>249</v>
      </c>
      <c r="E139" s="220">
        <v>336960.166666667</v>
      </c>
      <c r="F139" s="85"/>
      <c r="G139" s="220">
        <f>100000</f>
        <v>100000</v>
      </c>
      <c r="H139" s="220"/>
      <c r="I139" s="85">
        <v>36294.5458333334</v>
      </c>
      <c r="J139" s="509">
        <f t="shared" si="40"/>
        <v>473254.7125</v>
      </c>
      <c r="K139" s="85"/>
      <c r="L139" s="85">
        <v>20000</v>
      </c>
      <c r="M139" s="85">
        <f>50000</f>
        <v>50000</v>
      </c>
      <c r="N139" s="85"/>
      <c r="O139" s="85"/>
      <c r="P139" s="85">
        <v>62833.62185</v>
      </c>
      <c r="Q139" s="85">
        <v>26956.8133333333</v>
      </c>
      <c r="R139" s="510">
        <f t="shared" si="41"/>
        <v>159790.435183333</v>
      </c>
      <c r="S139" s="85">
        <v>306731.2681</v>
      </c>
      <c r="T139" s="509">
        <f t="shared" si="42"/>
        <v>313464.277316667</v>
      </c>
    </row>
    <row r="140" customHeight="1" spans="1:20">
      <c r="A140" s="4">
        <v>7</v>
      </c>
      <c r="B140" s="18" t="s">
        <v>250</v>
      </c>
      <c r="C140" s="4" t="s">
        <v>248</v>
      </c>
      <c r="D140" s="10" t="s">
        <v>99</v>
      </c>
      <c r="E140" s="220">
        <v>338711.666666667</v>
      </c>
      <c r="F140" s="85"/>
      <c r="G140" s="220">
        <f>100000</f>
        <v>100000</v>
      </c>
      <c r="H140" s="220"/>
      <c r="I140" s="85">
        <v>36344.7791666666</v>
      </c>
      <c r="J140" s="509">
        <f t="shared" si="40"/>
        <v>475056.445833334</v>
      </c>
      <c r="K140" s="85"/>
      <c r="L140" s="85">
        <f>25000</f>
        <v>25000</v>
      </c>
      <c r="M140" s="85">
        <v>114583.333333333</v>
      </c>
      <c r="N140" s="85"/>
      <c r="O140" s="85"/>
      <c r="P140" s="85">
        <v>63132.7122500001</v>
      </c>
      <c r="Q140" s="85">
        <v>27096.9333333334</v>
      </c>
      <c r="R140" s="510">
        <f t="shared" si="41"/>
        <v>229812.978916666</v>
      </c>
      <c r="S140" s="85">
        <v>237527.991033334</v>
      </c>
      <c r="T140" s="509">
        <f t="shared" si="42"/>
        <v>245243.466916668</v>
      </c>
    </row>
    <row r="141" customHeight="1" spans="1:20">
      <c r="A141" s="4">
        <v>8</v>
      </c>
      <c r="B141" s="18" t="s">
        <v>251</v>
      </c>
      <c r="C141" s="4" t="s">
        <v>248</v>
      </c>
      <c r="D141" s="15" t="s">
        <v>223</v>
      </c>
      <c r="E141" s="220">
        <v>315930.583333333</v>
      </c>
      <c r="F141" s="85"/>
      <c r="G141" s="220">
        <f t="shared" ref="G141:G144" si="43">100000</f>
        <v>100000</v>
      </c>
      <c r="H141" s="220"/>
      <c r="I141" s="85">
        <v>33981.2733333334</v>
      </c>
      <c r="J141" s="509">
        <f t="shared" si="40"/>
        <v>449911.856666666</v>
      </c>
      <c r="K141" s="85"/>
      <c r="L141" s="85">
        <f>30000</f>
        <v>30000</v>
      </c>
      <c r="M141" s="85"/>
      <c r="N141" s="85"/>
      <c r="O141" s="85">
        <v>5118.36041666667</v>
      </c>
      <c r="P141" s="85">
        <v>58013.4289249999</v>
      </c>
      <c r="Q141" s="85">
        <v>25274.4466666666</v>
      </c>
      <c r="R141" s="510">
        <f t="shared" si="41"/>
        <v>118406.236008333</v>
      </c>
      <c r="S141" s="85">
        <v>324215.733543333</v>
      </c>
      <c r="T141" s="509">
        <f t="shared" si="42"/>
        <v>331505.620658333</v>
      </c>
    </row>
    <row r="142" s="1" customFormat="1" customHeight="1" spans="1:20">
      <c r="A142" s="4">
        <v>9</v>
      </c>
      <c r="B142" s="18" t="s">
        <v>252</v>
      </c>
      <c r="C142" s="4" t="s">
        <v>248</v>
      </c>
      <c r="D142" s="15" t="s">
        <v>111</v>
      </c>
      <c r="E142" s="85">
        <v>294900.833333334</v>
      </c>
      <c r="F142" s="85"/>
      <c r="G142" s="220">
        <f t="shared" si="43"/>
        <v>100000</v>
      </c>
      <c r="H142" s="220"/>
      <c r="I142" s="85">
        <v>31668</v>
      </c>
      <c r="J142" s="509">
        <f t="shared" si="40"/>
        <v>426568.833333334</v>
      </c>
      <c r="K142" s="85"/>
      <c r="L142" s="686"/>
      <c r="M142" s="686"/>
      <c r="N142" s="686"/>
      <c r="O142" s="4"/>
      <c r="P142" s="686">
        <v>55035.8180000001</v>
      </c>
      <c r="Q142" s="687">
        <v>23592.0666666667</v>
      </c>
      <c r="R142" s="510">
        <f t="shared" si="41"/>
        <v>78627.8846666668</v>
      </c>
      <c r="S142" s="85">
        <v>341727.669146667</v>
      </c>
      <c r="T142" s="509">
        <f t="shared" si="42"/>
        <v>347940.948666667</v>
      </c>
    </row>
    <row r="143" s="1" customFormat="1" customHeight="1" spans="1:20">
      <c r="A143" s="4">
        <v>10</v>
      </c>
      <c r="B143" s="18" t="s">
        <v>253</v>
      </c>
      <c r="C143" s="4" t="s">
        <v>248</v>
      </c>
      <c r="D143" s="15" t="s">
        <v>111</v>
      </c>
      <c r="E143" s="85">
        <v>294900.833333334</v>
      </c>
      <c r="F143" s="85"/>
      <c r="G143" s="220">
        <f t="shared" si="43"/>
        <v>100000</v>
      </c>
      <c r="H143" s="220"/>
      <c r="I143" s="85">
        <v>31668</v>
      </c>
      <c r="J143" s="509">
        <f t="shared" si="40"/>
        <v>426568.833333334</v>
      </c>
      <c r="K143" s="85"/>
      <c r="L143" s="686">
        <v>22000</v>
      </c>
      <c r="M143" s="686"/>
      <c r="N143" s="686"/>
      <c r="O143" s="4"/>
      <c r="P143" s="686">
        <v>55035.8180000001</v>
      </c>
      <c r="Q143" s="687">
        <v>23592.0666666667</v>
      </c>
      <c r="R143" s="510">
        <f t="shared" si="41"/>
        <v>100627.884666667</v>
      </c>
      <c r="S143" s="85">
        <v>341727.669146667</v>
      </c>
      <c r="T143" s="509">
        <f t="shared" si="42"/>
        <v>325940.948666667</v>
      </c>
    </row>
    <row r="144" s="1" customFormat="1" customHeight="1" spans="1:20">
      <c r="A144" s="4">
        <v>11</v>
      </c>
      <c r="B144" s="18" t="s">
        <v>254</v>
      </c>
      <c r="C144" s="4" t="s">
        <v>248</v>
      </c>
      <c r="D144" s="15" t="s">
        <v>111</v>
      </c>
      <c r="E144" s="85">
        <v>294900.833333334</v>
      </c>
      <c r="F144" s="85"/>
      <c r="G144" s="220">
        <f t="shared" si="43"/>
        <v>100000</v>
      </c>
      <c r="H144" s="220"/>
      <c r="I144" s="85">
        <v>31668</v>
      </c>
      <c r="J144" s="509">
        <f t="shared" si="40"/>
        <v>426568.833333334</v>
      </c>
      <c r="K144" s="85"/>
      <c r="L144" s="686"/>
      <c r="M144" s="686"/>
      <c r="N144" s="686"/>
      <c r="O144" s="4"/>
      <c r="P144" s="686">
        <v>55035.8180000001</v>
      </c>
      <c r="Q144" s="687">
        <v>23592.0666666667</v>
      </c>
      <c r="R144" s="510">
        <f t="shared" si="41"/>
        <v>78627.8846666668</v>
      </c>
      <c r="S144" s="85">
        <v>341727.669146667</v>
      </c>
      <c r="T144" s="509">
        <f t="shared" si="42"/>
        <v>347940.948666667</v>
      </c>
    </row>
    <row r="145" ht="25.5" customHeight="1" spans="1:20">
      <c r="A145" s="4"/>
      <c r="B145" s="20" t="s">
        <v>120</v>
      </c>
      <c r="C145" s="21">
        <v>11</v>
      </c>
      <c r="D145" s="4"/>
      <c r="E145" s="223">
        <f>SUM(E134:E144)</f>
        <v>6100042.16666666</v>
      </c>
      <c r="F145" s="223">
        <f t="shared" ref="F145:T145" si="44">SUM(F134:F144)</f>
        <v>0</v>
      </c>
      <c r="G145" s="223">
        <f t="shared" si="44"/>
        <v>1370000</v>
      </c>
      <c r="H145" s="223">
        <f t="shared" si="44"/>
        <v>0</v>
      </c>
      <c r="I145" s="223">
        <f t="shared" si="44"/>
        <v>369484.378333333</v>
      </c>
      <c r="J145" s="223">
        <f t="shared" si="44"/>
        <v>7839526.54499999</v>
      </c>
      <c r="K145" s="223">
        <f t="shared" si="44"/>
        <v>0</v>
      </c>
      <c r="L145" s="223">
        <f t="shared" si="44"/>
        <v>489000</v>
      </c>
      <c r="M145" s="223">
        <f t="shared" si="44"/>
        <v>271527.773333333</v>
      </c>
      <c r="N145" s="223">
        <f t="shared" si="44"/>
        <v>30000</v>
      </c>
      <c r="O145" s="223">
        <f t="shared" si="44"/>
        <v>27677.9958333333</v>
      </c>
      <c r="P145" s="223">
        <f t="shared" si="44"/>
        <v>1150012.26875</v>
      </c>
      <c r="Q145" s="223">
        <f t="shared" si="44"/>
        <v>488003.373333333</v>
      </c>
      <c r="R145" s="223">
        <f t="shared" si="44"/>
        <v>2456221.41125</v>
      </c>
      <c r="S145" s="223">
        <v>5419159.49264666</v>
      </c>
      <c r="T145" s="223">
        <f t="shared" si="44"/>
        <v>5383305.13375</v>
      </c>
    </row>
    <row r="146" customHeight="1" spans="1:20">
      <c r="A146" s="4"/>
      <c r="B146" s="20"/>
      <c r="C146" s="21"/>
      <c r="D146" s="4"/>
      <c r="E146" s="223"/>
      <c r="F146" s="223"/>
      <c r="G146" s="518"/>
      <c r="H146" s="518"/>
      <c r="I146" s="223"/>
      <c r="J146" s="522"/>
      <c r="K146" s="223"/>
      <c r="L146" s="223"/>
      <c r="M146" s="223"/>
      <c r="N146" s="223"/>
      <c r="O146" s="223"/>
      <c r="P146" s="223"/>
      <c r="Q146" s="223"/>
      <c r="R146" s="523"/>
      <c r="S146" s="223"/>
      <c r="T146" s="522"/>
    </row>
    <row r="147" customHeight="1" spans="1:20">
      <c r="A147" s="10"/>
      <c r="B147" s="20" t="s">
        <v>255</v>
      </c>
      <c r="C147" s="21"/>
      <c r="D147" s="21"/>
      <c r="E147" s="146"/>
      <c r="F147" s="146"/>
      <c r="G147" s="220"/>
      <c r="H147" s="220"/>
      <c r="I147" s="146"/>
      <c r="J147" s="516"/>
      <c r="K147" s="146"/>
      <c r="L147" s="146"/>
      <c r="M147" s="146"/>
      <c r="N147" s="146"/>
      <c r="O147" s="146"/>
      <c r="P147" s="146"/>
      <c r="Q147" s="146"/>
      <c r="R147" s="517"/>
      <c r="S147" s="146"/>
      <c r="T147" s="516"/>
    </row>
    <row r="148" s="1" customFormat="1" customHeight="1" spans="1:20">
      <c r="A148" s="10">
        <v>1</v>
      </c>
      <c r="B148" s="11" t="s">
        <v>256</v>
      </c>
      <c r="C148" s="17" t="s">
        <v>142</v>
      </c>
      <c r="D148" s="10" t="s">
        <v>49</v>
      </c>
      <c r="E148" s="85">
        <v>722595.5</v>
      </c>
      <c r="F148" s="85"/>
      <c r="G148" s="220">
        <v>160000</v>
      </c>
      <c r="H148" s="220"/>
      <c r="I148" s="85"/>
      <c r="J148" s="509">
        <f>SUM(E148:I148)</f>
        <v>882595.5</v>
      </c>
      <c r="K148" s="85"/>
      <c r="L148" s="85"/>
      <c r="M148" s="85"/>
      <c r="N148" s="85"/>
      <c r="O148" s="85"/>
      <c r="P148" s="85">
        <v>130961.8148</v>
      </c>
      <c r="Q148" s="85">
        <v>57807.64</v>
      </c>
      <c r="R148" s="510">
        <f>P148+O148+M148+N148+L148+K148+Q148</f>
        <v>188769.4548</v>
      </c>
      <c r="S148" s="85">
        <v>671496.030426666</v>
      </c>
      <c r="T148" s="509">
        <f>J148-R148</f>
        <v>693826.0452</v>
      </c>
    </row>
    <row r="149" ht="18.75" customHeight="1" spans="1:20">
      <c r="A149" s="10">
        <v>2</v>
      </c>
      <c r="B149" s="11" t="s">
        <v>257</v>
      </c>
      <c r="C149" s="4" t="s">
        <v>258</v>
      </c>
      <c r="D149" s="15" t="s">
        <v>259</v>
      </c>
      <c r="E149" s="85">
        <v>496497.166666667</v>
      </c>
      <c r="F149" s="85"/>
      <c r="G149" s="220">
        <v>110000</v>
      </c>
      <c r="H149" s="220">
        <v>0</v>
      </c>
      <c r="I149" s="85"/>
      <c r="J149" s="509">
        <f t="shared" ref="J149:J155" si="45">SUM(E149:I149)</f>
        <v>606497.166666667</v>
      </c>
      <c r="K149" s="85"/>
      <c r="L149" s="85">
        <f>30000</f>
        <v>30000</v>
      </c>
      <c r="M149" s="85">
        <f>102135.42</f>
        <v>102135.42</v>
      </c>
      <c r="N149" s="85"/>
      <c r="O149" s="85">
        <v>7777.36041666667</v>
      </c>
      <c r="P149" s="85">
        <v>83120.005925</v>
      </c>
      <c r="Q149" s="85">
        <v>39719.7733333333</v>
      </c>
      <c r="R149" s="510">
        <f t="shared" ref="R149:R155" si="46">P149+O149+M149+N149+L149+K149+Q149</f>
        <v>262752.559675</v>
      </c>
      <c r="S149" s="85">
        <v>329298.063226667</v>
      </c>
      <c r="T149" s="509">
        <f t="shared" ref="T149:T155" si="47">J149-R149</f>
        <v>343744.606991667</v>
      </c>
    </row>
    <row r="150" ht="18.75" customHeight="1" spans="1:20">
      <c r="A150" s="10">
        <v>3</v>
      </c>
      <c r="B150" s="11" t="s">
        <v>260</v>
      </c>
      <c r="C150" s="4" t="s">
        <v>71</v>
      </c>
      <c r="D150" s="15" t="s">
        <v>69</v>
      </c>
      <c r="E150" s="85">
        <v>468828.166666667</v>
      </c>
      <c r="F150" s="85"/>
      <c r="G150" s="220">
        <v>110000</v>
      </c>
      <c r="H150" s="220">
        <v>0</v>
      </c>
      <c r="I150" s="85"/>
      <c r="J150" s="509"/>
      <c r="K150" s="85"/>
      <c r="L150" s="85">
        <v>0</v>
      </c>
      <c r="M150" s="85"/>
      <c r="N150" s="85"/>
      <c r="O150" s="85"/>
      <c r="P150" s="85"/>
      <c r="Q150" s="85"/>
      <c r="R150" s="510">
        <f t="shared" si="46"/>
        <v>0</v>
      </c>
      <c r="S150" s="85">
        <v>458721.439306667</v>
      </c>
      <c r="T150" s="509">
        <f t="shared" si="47"/>
        <v>0</v>
      </c>
    </row>
    <row r="151" s="1" customFormat="1" ht="18.75" customHeight="1" spans="1:20">
      <c r="A151" s="10">
        <v>4</v>
      </c>
      <c r="B151" s="18" t="s">
        <v>261</v>
      </c>
      <c r="C151" s="4" t="s">
        <v>150</v>
      </c>
      <c r="D151" s="10" t="s">
        <v>99</v>
      </c>
      <c r="E151" s="85">
        <v>338711.666666667</v>
      </c>
      <c r="F151" s="85"/>
      <c r="G151" s="220">
        <f t="shared" ref="G151:G155" si="48">100000</f>
        <v>100000</v>
      </c>
      <c r="H151" s="220"/>
      <c r="I151" s="85"/>
      <c r="J151" s="509">
        <f t="shared" si="45"/>
        <v>438711.666666667</v>
      </c>
      <c r="K151" s="85"/>
      <c r="L151" s="85">
        <v>50000</v>
      </c>
      <c r="M151" s="85">
        <v>92500</v>
      </c>
      <c r="N151" s="85"/>
      <c r="O151" s="85">
        <v>5443.33541666668</v>
      </c>
      <c r="P151" s="85">
        <v>55610.8516250001</v>
      </c>
      <c r="Q151" s="85">
        <v>27096.9333333334</v>
      </c>
      <c r="R151" s="510">
        <f t="shared" si="46"/>
        <v>230651.120375</v>
      </c>
      <c r="S151" s="85">
        <v>199924.9428</v>
      </c>
      <c r="T151" s="509">
        <f t="shared" si="47"/>
        <v>208060.546291667</v>
      </c>
    </row>
    <row r="152" s="1" customFormat="1" ht="18.75" customHeight="1" spans="1:20">
      <c r="A152" s="10">
        <v>5</v>
      </c>
      <c r="B152" s="18" t="s">
        <v>262</v>
      </c>
      <c r="C152" s="4" t="s">
        <v>150</v>
      </c>
      <c r="D152" s="10" t="s">
        <v>99</v>
      </c>
      <c r="E152" s="85">
        <v>338711.666666667</v>
      </c>
      <c r="F152" s="85"/>
      <c r="G152" s="220">
        <f t="shared" si="48"/>
        <v>100000</v>
      </c>
      <c r="H152" s="220"/>
      <c r="I152" s="85"/>
      <c r="J152" s="509">
        <f t="shared" si="45"/>
        <v>438711.666666667</v>
      </c>
      <c r="K152" s="85"/>
      <c r="L152" s="85">
        <v>20000</v>
      </c>
      <c r="M152" s="85"/>
      <c r="N152" s="85"/>
      <c r="O152" s="85">
        <v>5443.33541666668</v>
      </c>
      <c r="P152" s="85">
        <v>55610.8516250001</v>
      </c>
      <c r="Q152" s="85">
        <v>27096.9333333334</v>
      </c>
      <c r="R152" s="510">
        <f t="shared" si="46"/>
        <v>108151.120375</v>
      </c>
      <c r="S152" s="85">
        <v>322424.9428</v>
      </c>
      <c r="T152" s="509">
        <f t="shared" si="47"/>
        <v>330560.546291667</v>
      </c>
    </row>
    <row r="153" s="1" customFormat="1" ht="18.75" customHeight="1" spans="1:20">
      <c r="A153" s="10">
        <v>6</v>
      </c>
      <c r="B153" s="18" t="s">
        <v>263</v>
      </c>
      <c r="C153" s="4" t="s">
        <v>150</v>
      </c>
      <c r="D153" s="10" t="s">
        <v>99</v>
      </c>
      <c r="E153" s="85">
        <v>338711.666666667</v>
      </c>
      <c r="F153" s="85"/>
      <c r="G153" s="220">
        <f t="shared" si="48"/>
        <v>100000</v>
      </c>
      <c r="H153" s="220"/>
      <c r="I153" s="85"/>
      <c r="J153" s="509">
        <f t="shared" si="45"/>
        <v>438711.666666667</v>
      </c>
      <c r="K153" s="85"/>
      <c r="L153" s="85">
        <v>20000</v>
      </c>
      <c r="M153" s="85"/>
      <c r="N153" s="85"/>
      <c r="O153" s="85">
        <v>5443.33541666668</v>
      </c>
      <c r="P153" s="85">
        <v>55610.8516250001</v>
      </c>
      <c r="Q153" s="85">
        <v>27096.9333333334</v>
      </c>
      <c r="R153" s="510">
        <f t="shared" si="46"/>
        <v>108151.120375</v>
      </c>
      <c r="S153" s="85">
        <v>322424.9428</v>
      </c>
      <c r="T153" s="509">
        <f t="shared" si="47"/>
        <v>330560.546291667</v>
      </c>
    </row>
    <row r="154" s="1" customFormat="1" ht="18.75" customHeight="1" spans="1:20">
      <c r="A154" s="10">
        <v>7</v>
      </c>
      <c r="B154" s="18" t="s">
        <v>264</v>
      </c>
      <c r="C154" s="4" t="s">
        <v>150</v>
      </c>
      <c r="D154" s="10" t="s">
        <v>99</v>
      </c>
      <c r="E154" s="85">
        <v>338711.666666667</v>
      </c>
      <c r="F154" s="85"/>
      <c r="G154" s="220">
        <f t="shared" si="48"/>
        <v>100000</v>
      </c>
      <c r="H154" s="220"/>
      <c r="I154" s="85"/>
      <c r="J154" s="509">
        <f t="shared" si="45"/>
        <v>438711.666666667</v>
      </c>
      <c r="K154" s="85"/>
      <c r="L154" s="85">
        <v>10000</v>
      </c>
      <c r="M154" s="85"/>
      <c r="N154" s="85"/>
      <c r="O154" s="85">
        <v>5443.33541666668</v>
      </c>
      <c r="P154" s="85">
        <v>55610.8516250001</v>
      </c>
      <c r="Q154" s="85">
        <v>27096.9333333334</v>
      </c>
      <c r="R154" s="510">
        <f t="shared" si="46"/>
        <v>98151.1203750001</v>
      </c>
      <c r="S154" s="85">
        <v>332424.9428</v>
      </c>
      <c r="T154" s="509">
        <f t="shared" si="47"/>
        <v>340560.546291667</v>
      </c>
    </row>
    <row r="155" s="1" customFormat="1" customHeight="1" spans="1:20">
      <c r="A155" s="10">
        <v>8</v>
      </c>
      <c r="B155" s="18" t="s">
        <v>265</v>
      </c>
      <c r="C155" s="12" t="s">
        <v>266</v>
      </c>
      <c r="D155" s="15" t="s">
        <v>111</v>
      </c>
      <c r="E155" s="85">
        <v>294900.833333334</v>
      </c>
      <c r="F155" s="85"/>
      <c r="G155" s="220">
        <f t="shared" si="48"/>
        <v>100000</v>
      </c>
      <c r="H155" s="220"/>
      <c r="I155" s="85"/>
      <c r="J155" s="509">
        <f t="shared" si="45"/>
        <v>394900.833333334</v>
      </c>
      <c r="K155" s="85"/>
      <c r="L155" s="686">
        <v>10000</v>
      </c>
      <c r="M155" s="686"/>
      <c r="N155" s="1085"/>
      <c r="O155" s="335">
        <v>4804.48541666668</v>
      </c>
      <c r="P155" s="686">
        <v>48470.7706250001</v>
      </c>
      <c r="Q155" s="687">
        <v>23592.0666666667</v>
      </c>
      <c r="R155" s="510">
        <f t="shared" si="46"/>
        <v>86867.3227083335</v>
      </c>
      <c r="S155" s="85">
        <v>301440.065146667</v>
      </c>
      <c r="T155" s="509">
        <f t="shared" si="47"/>
        <v>308033.510625001</v>
      </c>
    </row>
    <row r="156" ht="24.75" customHeight="1" spans="1:20">
      <c r="A156" s="4"/>
      <c r="B156" s="20" t="s">
        <v>120</v>
      </c>
      <c r="C156" s="21">
        <v>8</v>
      </c>
      <c r="D156" s="26"/>
      <c r="E156" s="93">
        <f>SUM(E148:E155)</f>
        <v>3337668.33333334</v>
      </c>
      <c r="F156" s="93">
        <f t="shared" ref="F156:T156" si="49">SUM(F148:F155)</f>
        <v>0</v>
      </c>
      <c r="G156" s="93">
        <f t="shared" si="49"/>
        <v>880000</v>
      </c>
      <c r="H156" s="93">
        <f t="shared" si="49"/>
        <v>0</v>
      </c>
      <c r="I156" s="93">
        <f t="shared" si="49"/>
        <v>0</v>
      </c>
      <c r="J156" s="93">
        <f t="shared" si="49"/>
        <v>3638840.16666667</v>
      </c>
      <c r="K156" s="93">
        <f t="shared" si="49"/>
        <v>0</v>
      </c>
      <c r="L156" s="93">
        <f t="shared" si="49"/>
        <v>140000</v>
      </c>
      <c r="M156" s="93">
        <f t="shared" si="49"/>
        <v>194635.42</v>
      </c>
      <c r="N156" s="93">
        <f t="shared" si="49"/>
        <v>0</v>
      </c>
      <c r="O156" s="93">
        <f t="shared" si="49"/>
        <v>34355.1875000001</v>
      </c>
      <c r="P156" s="93">
        <f t="shared" si="49"/>
        <v>484995.99785</v>
      </c>
      <c r="Q156" s="93">
        <f t="shared" si="49"/>
        <v>229507.213333334</v>
      </c>
      <c r="R156" s="93">
        <f t="shared" si="49"/>
        <v>1083493.81868333</v>
      </c>
      <c r="S156" s="93">
        <v>2938155.36930666</v>
      </c>
      <c r="T156" s="93">
        <f t="shared" si="49"/>
        <v>2555346.34798333</v>
      </c>
    </row>
    <row r="157" ht="24.75" customHeight="1" spans="1:20">
      <c r="A157" s="4"/>
      <c r="B157" s="20"/>
      <c r="C157" s="21"/>
      <c r="D157" s="26"/>
      <c r="E157" s="93"/>
      <c r="F157" s="93"/>
      <c r="G157" s="93"/>
      <c r="H157" s="93"/>
      <c r="I157" s="93"/>
      <c r="J157" s="1086"/>
      <c r="K157" s="93"/>
      <c r="L157" s="93"/>
      <c r="M157" s="93"/>
      <c r="N157" s="93"/>
      <c r="O157" s="93"/>
      <c r="P157" s="93"/>
      <c r="Q157" s="93"/>
      <c r="R157" s="1087"/>
      <c r="S157" s="93"/>
      <c r="T157" s="1086"/>
    </row>
    <row r="158" ht="24.75" customHeight="1" spans="1:20">
      <c r="A158" s="10"/>
      <c r="B158" s="20" t="s">
        <v>267</v>
      </c>
      <c r="C158" s="21"/>
      <c r="D158" s="21"/>
      <c r="E158" s="146"/>
      <c r="F158" s="146"/>
      <c r="G158" s="220"/>
      <c r="H158" s="220"/>
      <c r="I158" s="146"/>
      <c r="J158" s="516"/>
      <c r="K158" s="146"/>
      <c r="L158" s="146"/>
      <c r="M158" s="146"/>
      <c r="N158" s="146"/>
      <c r="O158" s="146"/>
      <c r="P158" s="146"/>
      <c r="Q158" s="146"/>
      <c r="R158" s="517"/>
      <c r="S158" s="146"/>
      <c r="T158" s="516"/>
    </row>
    <row r="159" s="1" customFormat="1" customHeight="1" spans="1:20">
      <c r="A159" s="4">
        <v>1</v>
      </c>
      <c r="B159" s="18" t="s">
        <v>268</v>
      </c>
      <c r="C159" s="12" t="s">
        <v>269</v>
      </c>
      <c r="D159" s="15" t="s">
        <v>74</v>
      </c>
      <c r="E159" s="85">
        <v>381140.666666666</v>
      </c>
      <c r="F159" s="85"/>
      <c r="G159" s="220"/>
      <c r="H159" s="220">
        <v>60000</v>
      </c>
      <c r="I159" s="85"/>
      <c r="J159" s="510">
        <f>SUM(E159:I159)</f>
        <v>441140.666666666</v>
      </c>
      <c r="K159" s="85"/>
      <c r="L159" s="686"/>
      <c r="M159" s="686"/>
      <c r="N159" s="686"/>
      <c r="O159" s="4"/>
      <c r="P159" s="686">
        <v>56416.8943999999</v>
      </c>
      <c r="Q159" s="687">
        <v>30491.2533333333</v>
      </c>
      <c r="R159" s="510">
        <f>P159+O159+M159+N159+L159+K159+Q159</f>
        <v>86908.1477333332</v>
      </c>
      <c r="S159" s="85">
        <v>296451.28832</v>
      </c>
      <c r="T159" s="510">
        <f>J159-R159</f>
        <v>354232.518933333</v>
      </c>
    </row>
    <row r="160" s="1" customFormat="1" ht="18.75" customHeight="1" spans="1:20">
      <c r="A160" s="4">
        <v>2</v>
      </c>
      <c r="B160" s="18" t="s">
        <v>270</v>
      </c>
      <c r="C160" s="4" t="s">
        <v>271</v>
      </c>
      <c r="D160" s="10" t="s">
        <v>99</v>
      </c>
      <c r="E160" s="85">
        <v>338711.666666667</v>
      </c>
      <c r="F160" s="85"/>
      <c r="G160" s="220"/>
      <c r="H160" s="220">
        <f>60000</f>
        <v>60000</v>
      </c>
      <c r="I160" s="85"/>
      <c r="J160" s="510">
        <f>SUM(E160:I160)</f>
        <v>398711.666666667</v>
      </c>
      <c r="K160" s="85"/>
      <c r="L160" s="85"/>
      <c r="M160" s="85"/>
      <c r="N160" s="85"/>
      <c r="O160" s="85"/>
      <c r="P160" s="85">
        <v>49390.6520000001</v>
      </c>
      <c r="Q160" s="85">
        <v>27096.9333333334</v>
      </c>
      <c r="R160" s="510">
        <f>P160+O160+M160+N160+L160+K160+Q160</f>
        <v>76487.5853333335</v>
      </c>
      <c r="S160" s="85">
        <v>315424.7428</v>
      </c>
      <c r="T160" s="510">
        <f>J160-R160</f>
        <v>322224.081333334</v>
      </c>
    </row>
    <row r="161" ht="24.75" customHeight="1" spans="1:20">
      <c r="A161" s="4">
        <v>3</v>
      </c>
      <c r="B161" s="11" t="s">
        <v>272</v>
      </c>
      <c r="C161" s="4" t="s">
        <v>273</v>
      </c>
      <c r="D161" s="10" t="s">
        <v>111</v>
      </c>
      <c r="E161" s="85">
        <v>294900.833333334</v>
      </c>
      <c r="F161" s="85"/>
      <c r="G161" s="220"/>
      <c r="H161" s="220">
        <v>50000</v>
      </c>
      <c r="I161" s="85"/>
      <c r="J161" s="510">
        <f>SUM(E161:I161)</f>
        <v>344900.833333334</v>
      </c>
      <c r="K161" s="85"/>
      <c r="L161" s="85"/>
      <c r="M161" s="85"/>
      <c r="N161" s="85"/>
      <c r="O161" s="85"/>
      <c r="P161" s="85">
        <v>40335.5780000001</v>
      </c>
      <c r="Q161" s="85">
        <v>23592.0666666667</v>
      </c>
      <c r="R161" s="510">
        <f>P161+O161+M161+N161+L161+K161+Q161</f>
        <v>63927.6446666668</v>
      </c>
      <c r="S161" s="85">
        <v>274796.556586667</v>
      </c>
      <c r="T161" s="510">
        <f>J161-R161</f>
        <v>280973.188666667</v>
      </c>
    </row>
    <row r="162" s="1" customFormat="1" customHeight="1" spans="1:20">
      <c r="A162" s="4">
        <v>4</v>
      </c>
      <c r="B162" s="18" t="s">
        <v>274</v>
      </c>
      <c r="C162" s="12" t="s">
        <v>275</v>
      </c>
      <c r="D162" s="15" t="s">
        <v>276</v>
      </c>
      <c r="E162" s="85">
        <v>287890.916666667</v>
      </c>
      <c r="F162" s="85"/>
      <c r="G162" s="220"/>
      <c r="H162" s="220">
        <f>50000</f>
        <v>50000</v>
      </c>
      <c r="I162" s="85"/>
      <c r="J162" s="510">
        <f>SUM(E162:I162)</f>
        <v>337890.916666667</v>
      </c>
      <c r="K162" s="85"/>
      <c r="L162" s="686"/>
      <c r="M162" s="686"/>
      <c r="N162" s="686"/>
      <c r="O162" s="833"/>
      <c r="P162" s="261">
        <v>39174.7358000001</v>
      </c>
      <c r="Q162" s="261">
        <v>23031.2733333334</v>
      </c>
      <c r="R162" s="510">
        <f>P162+O162+M162+N162+L162+K162+Q162</f>
        <v>62206.0091333335</v>
      </c>
      <c r="S162" s="85">
        <v>274796.556586667</v>
      </c>
      <c r="T162" s="510">
        <f>J162-R162</f>
        <v>275684.907533334</v>
      </c>
    </row>
    <row r="163" ht="24.75" customHeight="1" spans="1:20">
      <c r="A163" s="4">
        <v>5</v>
      </c>
      <c r="B163" s="11" t="s">
        <v>277</v>
      </c>
      <c r="C163" s="4" t="s">
        <v>278</v>
      </c>
      <c r="D163" s="10" t="s">
        <v>111</v>
      </c>
      <c r="E163" s="85">
        <v>294900.833333334</v>
      </c>
      <c r="F163" s="85"/>
      <c r="G163" s="220"/>
      <c r="H163" s="220">
        <v>50000</v>
      </c>
      <c r="I163" s="85"/>
      <c r="J163" s="510">
        <f>SUM(E163:I163)</f>
        <v>344900.833333334</v>
      </c>
      <c r="K163" s="85"/>
      <c r="L163" s="85"/>
      <c r="M163" s="85"/>
      <c r="N163" s="85"/>
      <c r="O163" s="85"/>
      <c r="P163" s="85">
        <v>40335.5780000001</v>
      </c>
      <c r="Q163" s="85">
        <v>23592.0666666667</v>
      </c>
      <c r="R163" s="510">
        <f>P163+O163+M163+N163+L163+K163+Q163</f>
        <v>63927.6446666668</v>
      </c>
      <c r="S163" s="85">
        <v>274796.556586667</v>
      </c>
      <c r="T163" s="510">
        <f>J163-R163</f>
        <v>280973.188666667</v>
      </c>
    </row>
    <row r="164" customHeight="1" spans="1:20">
      <c r="A164" s="4"/>
      <c r="B164" s="20" t="s">
        <v>120</v>
      </c>
      <c r="C164" s="21">
        <v>5</v>
      </c>
      <c r="D164" s="26"/>
      <c r="E164" s="93">
        <f>SUM(E159:E163)</f>
        <v>1597544.91666667</v>
      </c>
      <c r="F164" s="93">
        <f t="shared" ref="F164:T164" si="50">SUM(F159:F163)</f>
        <v>0</v>
      </c>
      <c r="G164" s="93">
        <f t="shared" si="50"/>
        <v>0</v>
      </c>
      <c r="H164" s="93">
        <f t="shared" si="50"/>
        <v>270000</v>
      </c>
      <c r="I164" s="93">
        <f t="shared" si="50"/>
        <v>0</v>
      </c>
      <c r="J164" s="93">
        <f t="shared" si="50"/>
        <v>1867544.91666667</v>
      </c>
      <c r="K164" s="93">
        <f t="shared" si="50"/>
        <v>0</v>
      </c>
      <c r="L164" s="93">
        <f t="shared" si="50"/>
        <v>0</v>
      </c>
      <c r="M164" s="93">
        <f t="shared" si="50"/>
        <v>0</v>
      </c>
      <c r="N164" s="93">
        <f t="shared" si="50"/>
        <v>0</v>
      </c>
      <c r="O164" s="93">
        <f t="shared" si="50"/>
        <v>0</v>
      </c>
      <c r="P164" s="93">
        <f t="shared" si="50"/>
        <v>225653.4382</v>
      </c>
      <c r="Q164" s="93">
        <f t="shared" si="50"/>
        <v>127803.593333333</v>
      </c>
      <c r="R164" s="93">
        <f t="shared" si="50"/>
        <v>353457.031533334</v>
      </c>
      <c r="S164" s="93">
        <v>1436265.70088</v>
      </c>
      <c r="T164" s="93">
        <f t="shared" si="50"/>
        <v>1514087.88513333</v>
      </c>
    </row>
    <row r="165" customHeight="1" spans="1:20">
      <c r="A165" s="4"/>
      <c r="B165" s="20"/>
      <c r="C165" s="21"/>
      <c r="D165" s="26"/>
      <c r="E165" s="93"/>
      <c r="F165" s="93"/>
      <c r="G165" s="93"/>
      <c r="H165" s="93"/>
      <c r="I165" s="93"/>
      <c r="J165" s="1086"/>
      <c r="K165" s="93"/>
      <c r="L165" s="93"/>
      <c r="M165" s="93"/>
      <c r="N165" s="93"/>
      <c r="O165" s="93"/>
      <c r="P165" s="93"/>
      <c r="Q165" s="93"/>
      <c r="R165" s="1087"/>
      <c r="S165" s="93"/>
      <c r="T165" s="1086"/>
    </row>
    <row r="166" customHeight="1" spans="1:20">
      <c r="A166" s="4"/>
      <c r="B166" s="20" t="s">
        <v>279</v>
      </c>
      <c r="C166" s="21"/>
      <c r="D166" s="21"/>
      <c r="E166" s="146"/>
      <c r="F166" s="146"/>
      <c r="G166" s="220"/>
      <c r="H166" s="220"/>
      <c r="I166" s="146"/>
      <c r="J166" s="516"/>
      <c r="K166" s="146"/>
      <c r="L166" s="146"/>
      <c r="M166" s="146"/>
      <c r="N166" s="146"/>
      <c r="O166" s="146"/>
      <c r="P166" s="146"/>
      <c r="Q166" s="146"/>
      <c r="R166" s="510"/>
      <c r="S166" s="85"/>
      <c r="T166" s="509"/>
    </row>
    <row r="167" customHeight="1" spans="1:20">
      <c r="A167" s="4">
        <v>1</v>
      </c>
      <c r="B167" s="11" t="s">
        <v>280</v>
      </c>
      <c r="C167" s="12" t="s">
        <v>281</v>
      </c>
      <c r="D167" s="15" t="s">
        <v>124</v>
      </c>
      <c r="E167" s="85">
        <v>1747106.41666666</v>
      </c>
      <c r="F167" s="85"/>
      <c r="G167" s="220"/>
      <c r="H167" s="220">
        <f>100000</f>
        <v>100000</v>
      </c>
      <c r="I167" s="85">
        <v>100000</v>
      </c>
      <c r="J167" s="509">
        <f>SUM(E167:I167)</f>
        <v>1947106.41666666</v>
      </c>
      <c r="K167" s="85"/>
      <c r="L167" s="85">
        <f>200000</f>
        <v>200000</v>
      </c>
      <c r="M167" s="85">
        <f>627777.78</f>
        <v>627777.78</v>
      </c>
      <c r="N167" s="85">
        <v>70000</v>
      </c>
      <c r="O167" s="85">
        <v>27169.4270833333</v>
      </c>
      <c r="P167" s="85">
        <v>326335.380012499</v>
      </c>
      <c r="Q167" s="85">
        <v>139768.513333333</v>
      </c>
      <c r="R167" s="510">
        <f>P167+O167+M167+N167+L167+K167+Q167</f>
        <v>1391051.10042917</v>
      </c>
      <c r="S167" s="85">
        <v>561931.68214333</v>
      </c>
      <c r="T167" s="509">
        <f>J167-R167</f>
        <v>556055.316237495</v>
      </c>
    </row>
    <row r="168" customHeight="1" spans="1:20">
      <c r="A168" s="4">
        <v>2</v>
      </c>
      <c r="B168" s="11" t="s">
        <v>282</v>
      </c>
      <c r="C168" s="12" t="s">
        <v>283</v>
      </c>
      <c r="D168" s="15" t="s">
        <v>35</v>
      </c>
      <c r="E168" s="85">
        <v>905306.75</v>
      </c>
      <c r="F168" s="85"/>
      <c r="G168" s="220"/>
      <c r="H168" s="220">
        <f>90000</f>
        <v>90000</v>
      </c>
      <c r="I168" s="85">
        <v>100000</v>
      </c>
      <c r="J168" s="509">
        <f t="shared" ref="J168:J178" si="51">SUM(E168:I168)</f>
        <v>1095306.75</v>
      </c>
      <c r="K168" s="85"/>
      <c r="L168" s="85">
        <v>0</v>
      </c>
      <c r="M168" s="85">
        <f>0</f>
        <v>0</v>
      </c>
      <c r="N168" s="85"/>
      <c r="O168" s="85">
        <v>13866.7375</v>
      </c>
      <c r="P168" s="85">
        <v>164393.249225</v>
      </c>
      <c r="Q168" s="85">
        <v>72424.54</v>
      </c>
      <c r="R168" s="510">
        <f t="shared" ref="R168:R178" si="52">P168+O168+M168+N168+L168+K168+Q168</f>
        <v>250684.526725</v>
      </c>
      <c r="S168" s="85">
        <v>836617.835113333</v>
      </c>
      <c r="T168" s="509">
        <f t="shared" ref="T168:T178" si="53">J168-R168</f>
        <v>844622.223275</v>
      </c>
    </row>
    <row r="169" customHeight="1" spans="1:20">
      <c r="A169" s="4">
        <v>3</v>
      </c>
      <c r="B169" s="14" t="s">
        <v>284</v>
      </c>
      <c r="C169" s="12" t="s">
        <v>283</v>
      </c>
      <c r="D169" s="15" t="s">
        <v>35</v>
      </c>
      <c r="E169" s="85">
        <v>905306.75</v>
      </c>
      <c r="F169" s="85"/>
      <c r="G169" s="220"/>
      <c r="H169" s="220">
        <f>90000</f>
        <v>90000</v>
      </c>
      <c r="I169" s="85">
        <f>100000+30000</f>
        <v>130000</v>
      </c>
      <c r="J169" s="509">
        <f t="shared" si="51"/>
        <v>1125306.75</v>
      </c>
      <c r="K169" s="85"/>
      <c r="L169" s="85">
        <f>350000</f>
        <v>350000</v>
      </c>
      <c r="M169" s="85"/>
      <c r="N169" s="85"/>
      <c r="O169" s="85">
        <v>13866.7375</v>
      </c>
      <c r="P169" s="85">
        <v>170693.249225</v>
      </c>
      <c r="Q169" s="85">
        <v>72424.54</v>
      </c>
      <c r="R169" s="510">
        <f t="shared" si="52"/>
        <v>606984.526725</v>
      </c>
      <c r="S169" s="85">
        <v>493640.886273333</v>
      </c>
      <c r="T169" s="509">
        <f t="shared" si="53"/>
        <v>518322.223275</v>
      </c>
    </row>
    <row r="170" customHeight="1" spans="1:20">
      <c r="A170" s="4">
        <v>4</v>
      </c>
      <c r="B170" s="11" t="s">
        <v>285</v>
      </c>
      <c r="C170" s="12" t="s">
        <v>286</v>
      </c>
      <c r="D170" s="15" t="s">
        <v>49</v>
      </c>
      <c r="E170" s="85">
        <v>722595.5</v>
      </c>
      <c r="F170" s="85"/>
      <c r="G170" s="220"/>
      <c r="H170" s="220">
        <f>80000</f>
        <v>80000</v>
      </c>
      <c r="I170" s="85">
        <v>0</v>
      </c>
      <c r="J170" s="509">
        <f t="shared" si="51"/>
        <v>802595.5</v>
      </c>
      <c r="K170" s="85"/>
      <c r="L170" s="85">
        <v>100000</v>
      </c>
      <c r="M170" s="85">
        <v>70000</v>
      </c>
      <c r="N170" s="85">
        <v>50000</v>
      </c>
      <c r="O170" s="85"/>
      <c r="P170" s="85">
        <v>116561.8148</v>
      </c>
      <c r="Q170" s="85">
        <v>57807.64</v>
      </c>
      <c r="R170" s="510">
        <f t="shared" si="52"/>
        <v>394369.4548</v>
      </c>
      <c r="S170" s="85">
        <v>385150.196186666</v>
      </c>
      <c r="T170" s="509">
        <f t="shared" si="53"/>
        <v>408226.0452</v>
      </c>
    </row>
    <row r="171" customHeight="1" spans="1:20">
      <c r="A171" s="4">
        <v>5</v>
      </c>
      <c r="B171" s="11" t="s">
        <v>287</v>
      </c>
      <c r="C171" s="12" t="s">
        <v>286</v>
      </c>
      <c r="D171" s="15" t="s">
        <v>41</v>
      </c>
      <c r="E171" s="85">
        <v>700713.916666666</v>
      </c>
      <c r="F171" s="85"/>
      <c r="G171" s="220"/>
      <c r="H171" s="220">
        <f>80000</f>
        <v>80000</v>
      </c>
      <c r="I171" s="85">
        <v>0</v>
      </c>
      <c r="J171" s="509">
        <f t="shared" si="51"/>
        <v>780713.916666666</v>
      </c>
      <c r="K171" s="85"/>
      <c r="L171" s="85">
        <v>5000</v>
      </c>
      <c r="M171" s="85">
        <v>250000</v>
      </c>
      <c r="N171" s="85"/>
      <c r="O171" s="85"/>
      <c r="P171" s="85">
        <v>112938.2246</v>
      </c>
      <c r="Q171" s="85">
        <v>56057.1133333333</v>
      </c>
      <c r="R171" s="510">
        <f t="shared" si="52"/>
        <v>423995.337933333</v>
      </c>
      <c r="S171" s="85">
        <v>350150.196186666</v>
      </c>
      <c r="T171" s="509">
        <f t="shared" si="53"/>
        <v>356718.578733333</v>
      </c>
    </row>
    <row r="172" customHeight="1" spans="1:20">
      <c r="A172" s="4">
        <v>6</v>
      </c>
      <c r="B172" s="11" t="s">
        <v>288</v>
      </c>
      <c r="C172" s="12" t="s">
        <v>289</v>
      </c>
      <c r="D172" s="15" t="s">
        <v>46</v>
      </c>
      <c r="E172" s="85">
        <v>573911.083333334</v>
      </c>
      <c r="F172" s="85"/>
      <c r="G172" s="220"/>
      <c r="H172" s="220">
        <f t="shared" ref="H172:H173" si="54">70000</f>
        <v>70000</v>
      </c>
      <c r="I172" s="85">
        <v>0</v>
      </c>
      <c r="J172" s="509">
        <f t="shared" si="51"/>
        <v>643911.083333334</v>
      </c>
      <c r="K172" s="85"/>
      <c r="L172" s="85">
        <f>20000</f>
        <v>20000</v>
      </c>
      <c r="M172" s="85">
        <v>75694.44</v>
      </c>
      <c r="N172" s="85"/>
      <c r="O172" s="85">
        <v>8926.66666666668</v>
      </c>
      <c r="P172" s="85">
        <v>88532.8754000001</v>
      </c>
      <c r="Q172" s="85">
        <v>45912.8866666667</v>
      </c>
      <c r="R172" s="510">
        <f t="shared" si="52"/>
        <v>239066.868733333</v>
      </c>
      <c r="S172" s="85">
        <v>390092.752056667</v>
      </c>
      <c r="T172" s="509">
        <f t="shared" si="53"/>
        <v>404844.2146</v>
      </c>
    </row>
    <row r="173" customHeight="1" spans="1:20">
      <c r="A173" s="4">
        <v>7</v>
      </c>
      <c r="B173" s="11" t="s">
        <v>290</v>
      </c>
      <c r="C173" s="12" t="s">
        <v>289</v>
      </c>
      <c r="D173" s="15" t="s">
        <v>189</v>
      </c>
      <c r="E173" s="85">
        <v>589657</v>
      </c>
      <c r="F173" s="85"/>
      <c r="G173" s="220"/>
      <c r="H173" s="220">
        <f t="shared" si="54"/>
        <v>70000</v>
      </c>
      <c r="I173" s="85"/>
      <c r="J173" s="509">
        <f t="shared" si="51"/>
        <v>659657</v>
      </c>
      <c r="K173" s="85"/>
      <c r="L173" s="85">
        <v>90000</v>
      </c>
      <c r="M173" s="85">
        <f>55000</f>
        <v>55000</v>
      </c>
      <c r="N173" s="85"/>
      <c r="O173" s="85">
        <v>9160.4375</v>
      </c>
      <c r="P173" s="85">
        <v>91098.32045</v>
      </c>
      <c r="Q173" s="85">
        <v>47172.56</v>
      </c>
      <c r="R173" s="510">
        <f t="shared" si="52"/>
        <v>292431.31795</v>
      </c>
      <c r="S173" s="85">
        <v>352303.129573334</v>
      </c>
      <c r="T173" s="509">
        <f t="shared" si="53"/>
        <v>367225.68205</v>
      </c>
    </row>
    <row r="174" s="1" customFormat="1" customHeight="1" spans="1:20">
      <c r="A174" s="4">
        <v>8</v>
      </c>
      <c r="B174" s="18" t="s">
        <v>291</v>
      </c>
      <c r="C174" s="12" t="s">
        <v>292</v>
      </c>
      <c r="D174" s="15" t="s">
        <v>99</v>
      </c>
      <c r="E174" s="85">
        <v>338711.666666667</v>
      </c>
      <c r="F174" s="85"/>
      <c r="G174" s="220"/>
      <c r="H174" s="220">
        <v>60000</v>
      </c>
      <c r="I174" s="85"/>
      <c r="J174" s="509">
        <f t="shared" si="51"/>
        <v>398711.666666667</v>
      </c>
      <c r="K174" s="85"/>
      <c r="L174" s="686"/>
      <c r="M174" s="686"/>
      <c r="N174" s="686">
        <v>40000</v>
      </c>
      <c r="O174" s="4"/>
      <c r="P174" s="686">
        <v>49390.6520000001</v>
      </c>
      <c r="Q174" s="687">
        <v>27096.9333333334</v>
      </c>
      <c r="R174" s="510">
        <f t="shared" si="52"/>
        <v>116487.585333333</v>
      </c>
      <c r="S174" s="85">
        <v>275424.7428</v>
      </c>
      <c r="T174" s="509">
        <f t="shared" si="53"/>
        <v>282224.081333334</v>
      </c>
    </row>
    <row r="175" customHeight="1" spans="1:20">
      <c r="A175" s="4">
        <v>9</v>
      </c>
      <c r="B175" s="11" t="s">
        <v>293</v>
      </c>
      <c r="C175" s="4" t="s">
        <v>294</v>
      </c>
      <c r="D175" s="15" t="s">
        <v>80</v>
      </c>
      <c r="E175" s="85">
        <v>372145.333333333</v>
      </c>
      <c r="F175" s="85"/>
      <c r="G175" s="220"/>
      <c r="H175" s="220">
        <v>60000</v>
      </c>
      <c r="I175" s="85"/>
      <c r="J175" s="509">
        <f t="shared" si="51"/>
        <v>432145.333333333</v>
      </c>
      <c r="K175" s="85"/>
      <c r="L175" s="85">
        <v>15000</v>
      </c>
      <c r="M175" s="85">
        <v>150000</v>
      </c>
      <c r="N175" s="85">
        <v>20000</v>
      </c>
      <c r="O175" s="85"/>
      <c r="P175" s="85">
        <v>54927.2671999999</v>
      </c>
      <c r="Q175" s="85">
        <v>29771.6266666666</v>
      </c>
      <c r="R175" s="510">
        <f t="shared" si="52"/>
        <v>269698.893866666</v>
      </c>
      <c r="S175" s="85">
        <v>161192.86144</v>
      </c>
      <c r="T175" s="509">
        <f t="shared" si="53"/>
        <v>162446.439466667</v>
      </c>
    </row>
    <row r="176" customHeight="1" spans="1:20">
      <c r="A176" s="4">
        <v>10</v>
      </c>
      <c r="B176" s="18" t="s">
        <v>295</v>
      </c>
      <c r="C176" s="12" t="s">
        <v>296</v>
      </c>
      <c r="D176" s="15" t="s">
        <v>105</v>
      </c>
      <c r="E176" s="85">
        <v>308920.666666667</v>
      </c>
      <c r="F176" s="85"/>
      <c r="G176" s="220"/>
      <c r="H176" s="220">
        <f>50000</f>
        <v>50000</v>
      </c>
      <c r="I176" s="85"/>
      <c r="J176" s="509">
        <f t="shared" si="51"/>
        <v>358920.666666667</v>
      </c>
      <c r="K176" s="85"/>
      <c r="L176" s="85">
        <f>10000</f>
        <v>10000</v>
      </c>
      <c r="M176" s="85">
        <f>100000</f>
        <v>100000</v>
      </c>
      <c r="N176" s="1081"/>
      <c r="O176" s="916">
        <v>5013.73541666668</v>
      </c>
      <c r="P176" s="85">
        <v>41754.790025</v>
      </c>
      <c r="Q176" s="85">
        <v>24713.6533333334</v>
      </c>
      <c r="R176" s="510">
        <f t="shared" si="52"/>
        <v>181482.178775</v>
      </c>
      <c r="S176" s="85">
        <v>170618.787396667</v>
      </c>
      <c r="T176" s="509">
        <f t="shared" si="53"/>
        <v>177438.487891667</v>
      </c>
    </row>
    <row r="177" customHeight="1" spans="1:20">
      <c r="A177" s="4">
        <v>11</v>
      </c>
      <c r="B177" s="18" t="s">
        <v>297</v>
      </c>
      <c r="C177" s="12" t="s">
        <v>292</v>
      </c>
      <c r="D177" s="15" t="s">
        <v>105</v>
      </c>
      <c r="E177" s="85">
        <v>308920.666666667</v>
      </c>
      <c r="F177" s="85"/>
      <c r="G177" s="220"/>
      <c r="H177" s="220">
        <v>50000</v>
      </c>
      <c r="I177" s="85"/>
      <c r="J177" s="509">
        <f t="shared" si="51"/>
        <v>358920.666666667</v>
      </c>
      <c r="K177" s="85"/>
      <c r="L177" s="85">
        <f>10000+10000</f>
        <v>20000</v>
      </c>
      <c r="M177" s="85">
        <v>63888.89</v>
      </c>
      <c r="N177" s="1081"/>
      <c r="O177" s="916">
        <v>5013.73541666668</v>
      </c>
      <c r="P177" s="85">
        <v>41754.790025</v>
      </c>
      <c r="Q177" s="85">
        <v>24713.6533333334</v>
      </c>
      <c r="R177" s="510">
        <f t="shared" si="52"/>
        <v>155371.068775</v>
      </c>
      <c r="S177" s="85">
        <v>196729.897396667</v>
      </c>
      <c r="T177" s="509">
        <f t="shared" si="53"/>
        <v>203549.597891667</v>
      </c>
    </row>
    <row r="178" customHeight="1" spans="1:20">
      <c r="A178" s="4">
        <v>12</v>
      </c>
      <c r="B178" s="18" t="s">
        <v>298</v>
      </c>
      <c r="C178" s="12" t="s">
        <v>296</v>
      </c>
      <c r="D178" s="15" t="s">
        <v>108</v>
      </c>
      <c r="E178" s="939">
        <v>301910.75</v>
      </c>
      <c r="F178" s="85"/>
      <c r="G178" s="220"/>
      <c r="H178" s="220">
        <v>50000</v>
      </c>
      <c r="I178" s="85"/>
      <c r="J178" s="509">
        <f t="shared" si="51"/>
        <v>351910.75</v>
      </c>
      <c r="K178" s="85"/>
      <c r="L178" s="686">
        <f>20000</f>
        <v>20000</v>
      </c>
      <c r="M178" s="686">
        <v>80000</v>
      </c>
      <c r="N178" s="1082"/>
      <c r="O178" s="916">
        <v>4909.11041666668</v>
      </c>
      <c r="P178" s="686">
        <v>40612.780325</v>
      </c>
      <c r="Q178" s="687">
        <v>24152.86</v>
      </c>
      <c r="R178" s="510">
        <f t="shared" si="52"/>
        <v>169674.750741667</v>
      </c>
      <c r="S178" s="85">
        <v>175357.741783334</v>
      </c>
      <c r="T178" s="509">
        <f t="shared" si="53"/>
        <v>182235.999258333</v>
      </c>
    </row>
    <row r="179" ht="28.5" customHeight="1" spans="1:20">
      <c r="A179" s="4"/>
      <c r="B179" s="20" t="s">
        <v>120</v>
      </c>
      <c r="C179" s="26" t="s">
        <v>299</v>
      </c>
      <c r="D179" s="15"/>
      <c r="E179" s="221">
        <f>SUM(E167:E178)</f>
        <v>7775206.49999999</v>
      </c>
      <c r="F179" s="221">
        <f t="shared" ref="F179:T179" si="55">SUM(F167:F178)</f>
        <v>0</v>
      </c>
      <c r="G179" s="221">
        <f t="shared" si="55"/>
        <v>0</v>
      </c>
      <c r="H179" s="221">
        <f t="shared" si="55"/>
        <v>850000</v>
      </c>
      <c r="I179" s="221">
        <f t="shared" si="55"/>
        <v>330000</v>
      </c>
      <c r="J179" s="221">
        <f t="shared" si="55"/>
        <v>8955206.49999999</v>
      </c>
      <c r="K179" s="221">
        <f t="shared" si="55"/>
        <v>0</v>
      </c>
      <c r="L179" s="221">
        <f t="shared" si="55"/>
        <v>830000</v>
      </c>
      <c r="M179" s="221">
        <f t="shared" si="55"/>
        <v>1472361.11</v>
      </c>
      <c r="N179" s="221">
        <f t="shared" si="55"/>
        <v>180000</v>
      </c>
      <c r="O179" s="221">
        <f t="shared" si="55"/>
        <v>87926.5875</v>
      </c>
      <c r="P179" s="221">
        <f t="shared" si="55"/>
        <v>1298993.3932875</v>
      </c>
      <c r="Q179" s="221">
        <f t="shared" si="55"/>
        <v>622016.52</v>
      </c>
      <c r="R179" s="221">
        <f t="shared" si="55"/>
        <v>4491297.6107875</v>
      </c>
      <c r="S179" s="221">
        <v>4349210.70835</v>
      </c>
      <c r="T179" s="221">
        <f t="shared" si="55"/>
        <v>4463908.88921249</v>
      </c>
    </row>
    <row r="180" customHeight="1" spans="1:20">
      <c r="A180" s="4"/>
      <c r="B180" s="22"/>
      <c r="C180" s="26"/>
      <c r="D180" s="15"/>
      <c r="E180" s="146"/>
      <c r="F180" s="146"/>
      <c r="G180" s="220"/>
      <c r="H180" s="220"/>
      <c r="I180" s="146"/>
      <c r="J180" s="516"/>
      <c r="K180" s="146"/>
      <c r="L180" s="146"/>
      <c r="M180" s="146"/>
      <c r="N180" s="146"/>
      <c r="O180" s="146"/>
      <c r="P180" s="146"/>
      <c r="Q180" s="146"/>
      <c r="R180" s="517"/>
      <c r="S180" s="146"/>
      <c r="T180" s="516"/>
    </row>
    <row r="181" customHeight="1" spans="1:20">
      <c r="A181" s="4"/>
      <c r="B181" s="20" t="s">
        <v>300</v>
      </c>
      <c r="C181" s="12"/>
      <c r="D181" s="15"/>
      <c r="E181" s="85"/>
      <c r="F181" s="85"/>
      <c r="G181" s="220"/>
      <c r="H181" s="220"/>
      <c r="I181" s="85"/>
      <c r="J181" s="509"/>
      <c r="K181" s="85"/>
      <c r="L181" s="85"/>
      <c r="M181" s="85"/>
      <c r="N181" s="85"/>
      <c r="O181" s="85"/>
      <c r="P181" s="85"/>
      <c r="Q181" s="85"/>
      <c r="R181" s="510"/>
      <c r="S181" s="85"/>
      <c r="T181" s="509"/>
    </row>
    <row r="182" customHeight="1" spans="1:20">
      <c r="A182" s="27">
        <v>1</v>
      </c>
      <c r="B182" s="14" t="s">
        <v>301</v>
      </c>
      <c r="C182" s="4" t="s">
        <v>302</v>
      </c>
      <c r="D182" s="10" t="s">
        <v>303</v>
      </c>
      <c r="E182" s="85">
        <v>1697359.33333333</v>
      </c>
      <c r="F182" s="85"/>
      <c r="G182" s="220"/>
      <c r="H182" s="220">
        <v>100000</v>
      </c>
      <c r="I182" s="85"/>
      <c r="J182" s="509">
        <f>E182+F182+G182+H182+I182</f>
        <v>1797359.33333333</v>
      </c>
      <c r="K182" s="85"/>
      <c r="L182" s="85">
        <f>20000+60000</f>
        <v>80000</v>
      </c>
      <c r="M182" s="85">
        <v>446457.79</v>
      </c>
      <c r="N182" s="85">
        <v>40000</v>
      </c>
      <c r="O182" s="85">
        <v>26406.8208333333</v>
      </c>
      <c r="P182" s="85">
        <v>295884.390824999</v>
      </c>
      <c r="Q182" s="85">
        <v>135788.746666666</v>
      </c>
      <c r="R182" s="510">
        <f>P182+O182+M182+N182+L182+K182+Q182</f>
        <v>1024537.748325</v>
      </c>
      <c r="S182" s="85">
        <v>739723.87932</v>
      </c>
      <c r="T182" s="509">
        <f>J182-R182</f>
        <v>772821.585008332</v>
      </c>
    </row>
    <row r="183" customHeight="1" spans="1:20">
      <c r="A183" s="27">
        <v>2</v>
      </c>
      <c r="B183" s="14" t="s">
        <v>304</v>
      </c>
      <c r="C183" s="4" t="s">
        <v>305</v>
      </c>
      <c r="D183" s="16" t="s">
        <v>35</v>
      </c>
      <c r="E183" s="85">
        <v>905306.75</v>
      </c>
      <c r="F183" s="85"/>
      <c r="G183" s="220"/>
      <c r="H183" s="220">
        <f>80000+10000</f>
        <v>90000</v>
      </c>
      <c r="I183" s="85">
        <v>50000</v>
      </c>
      <c r="J183" s="509">
        <f t="shared" ref="J183:J223" si="56">E183+F183+G183+H183+I183</f>
        <v>1045306.75</v>
      </c>
      <c r="K183" s="85"/>
      <c r="L183" s="85">
        <f>37500</f>
        <v>37500</v>
      </c>
      <c r="M183" s="85">
        <v>319444.44</v>
      </c>
      <c r="N183" s="85"/>
      <c r="O183" s="85">
        <v>13866.7375</v>
      </c>
      <c r="P183" s="85">
        <v>155122.78505</v>
      </c>
      <c r="Q183" s="85">
        <v>72424.54</v>
      </c>
      <c r="R183" s="510">
        <f t="shared" ref="R183:R214" si="57">P183+O183+M183+N183+L183+K183+Q183</f>
        <v>598358.50255</v>
      </c>
      <c r="S183" s="85">
        <v>439273.395113333</v>
      </c>
      <c r="T183" s="509">
        <f t="shared" ref="T183:T214" si="58">J183-R183</f>
        <v>446948.24745</v>
      </c>
    </row>
    <row r="184" customHeight="1" spans="1:20">
      <c r="A184" s="27">
        <v>3</v>
      </c>
      <c r="B184" s="11" t="s">
        <v>306</v>
      </c>
      <c r="C184" s="12" t="s">
        <v>307</v>
      </c>
      <c r="D184" s="15" t="s">
        <v>49</v>
      </c>
      <c r="E184" s="85">
        <v>722595.5</v>
      </c>
      <c r="F184" s="85"/>
      <c r="G184" s="220"/>
      <c r="H184" s="220">
        <v>80000</v>
      </c>
      <c r="I184" s="85"/>
      <c r="J184" s="509">
        <f t="shared" si="56"/>
        <v>802595.5</v>
      </c>
      <c r="K184" s="85"/>
      <c r="L184" s="85">
        <f>100000</f>
        <v>100000</v>
      </c>
      <c r="M184" s="85">
        <f>191666.67</f>
        <v>191666.67</v>
      </c>
      <c r="N184" s="85"/>
      <c r="O184" s="85">
        <v>11149.8958333333</v>
      </c>
      <c r="P184" s="85">
        <v>114554.83355</v>
      </c>
      <c r="Q184" s="85">
        <v>57807.64</v>
      </c>
      <c r="R184" s="510">
        <f t="shared" si="57"/>
        <v>475179.039383333</v>
      </c>
      <c r="S184" s="85">
        <v>306443.142543332</v>
      </c>
      <c r="T184" s="509">
        <f t="shared" si="58"/>
        <v>327416.460616667</v>
      </c>
    </row>
    <row r="185" customHeight="1" spans="1:20">
      <c r="A185" s="27">
        <v>4</v>
      </c>
      <c r="B185" s="11" t="s">
        <v>308</v>
      </c>
      <c r="C185" s="4" t="s">
        <v>309</v>
      </c>
      <c r="D185" s="15" t="s">
        <v>49</v>
      </c>
      <c r="E185" s="85">
        <v>722595.5</v>
      </c>
      <c r="F185" s="85"/>
      <c r="G185" s="220"/>
      <c r="H185" s="220">
        <v>80000</v>
      </c>
      <c r="I185" s="85">
        <v>0</v>
      </c>
      <c r="J185" s="509">
        <f t="shared" si="56"/>
        <v>802595.5</v>
      </c>
      <c r="K185" s="85"/>
      <c r="L185" s="85">
        <v>20000</v>
      </c>
      <c r="M185" s="85">
        <v>28750</v>
      </c>
      <c r="N185" s="85">
        <v>10000</v>
      </c>
      <c r="O185" s="85">
        <v>11149.8958333333</v>
      </c>
      <c r="P185" s="85">
        <v>114554.83355</v>
      </c>
      <c r="Q185" s="85">
        <v>57807.64</v>
      </c>
      <c r="R185" s="510">
        <f t="shared" si="57"/>
        <v>242262.369383333</v>
      </c>
      <c r="S185" s="85">
        <v>539359.812543332</v>
      </c>
      <c r="T185" s="509">
        <f t="shared" si="58"/>
        <v>560333.130616667</v>
      </c>
    </row>
    <row r="186" customHeight="1" spans="1:20">
      <c r="A186" s="27">
        <v>5</v>
      </c>
      <c r="B186" s="11" t="s">
        <v>310</v>
      </c>
      <c r="C186" s="4" t="s">
        <v>309</v>
      </c>
      <c r="D186" s="15" t="s">
        <v>49</v>
      </c>
      <c r="E186" s="85">
        <v>722595.5</v>
      </c>
      <c r="F186" s="85"/>
      <c r="G186" s="220"/>
      <c r="H186" s="220">
        <v>80000</v>
      </c>
      <c r="I186" s="85">
        <v>0</v>
      </c>
      <c r="J186" s="509">
        <f t="shared" si="56"/>
        <v>802595.5</v>
      </c>
      <c r="K186" s="85"/>
      <c r="L186" s="85">
        <f>0</f>
        <v>0</v>
      </c>
      <c r="M186" s="85">
        <v>0</v>
      </c>
      <c r="N186" s="85"/>
      <c r="O186" s="85">
        <v>11149.8958333333</v>
      </c>
      <c r="P186" s="85">
        <v>114554.83355</v>
      </c>
      <c r="Q186" s="85">
        <v>57807.64</v>
      </c>
      <c r="R186" s="510">
        <f t="shared" si="57"/>
        <v>183512.369383333</v>
      </c>
      <c r="S186" s="85">
        <v>598109.812543332</v>
      </c>
      <c r="T186" s="509">
        <f t="shared" si="58"/>
        <v>619083.130616667</v>
      </c>
    </row>
    <row r="187" customHeight="1" spans="1:20">
      <c r="A187" s="27">
        <v>6</v>
      </c>
      <c r="B187" s="11" t="s">
        <v>311</v>
      </c>
      <c r="C187" s="4" t="s">
        <v>312</v>
      </c>
      <c r="D187" s="10" t="s">
        <v>52</v>
      </c>
      <c r="E187" s="85">
        <v>542419.5</v>
      </c>
      <c r="F187" s="85"/>
      <c r="G187" s="220"/>
      <c r="H187" s="220">
        <v>70000</v>
      </c>
      <c r="I187" s="85"/>
      <c r="J187" s="509">
        <f t="shared" si="56"/>
        <v>612419.5</v>
      </c>
      <c r="K187" s="85"/>
      <c r="L187" s="85"/>
      <c r="M187" s="85"/>
      <c r="N187" s="85">
        <v>25000</v>
      </c>
      <c r="O187" s="85"/>
      <c r="P187" s="85">
        <v>84924.6692</v>
      </c>
      <c r="Q187" s="85">
        <v>43393.56</v>
      </c>
      <c r="R187" s="510">
        <f t="shared" si="57"/>
        <v>153318.2292</v>
      </c>
      <c r="S187" s="85">
        <v>460147.324906667</v>
      </c>
      <c r="T187" s="509">
        <f t="shared" si="58"/>
        <v>459101.2708</v>
      </c>
    </row>
    <row r="188" customHeight="1" spans="1:20">
      <c r="A188" s="27">
        <v>7</v>
      </c>
      <c r="B188" s="11" t="s">
        <v>313</v>
      </c>
      <c r="C188" s="12" t="s">
        <v>230</v>
      </c>
      <c r="D188" s="15" t="s">
        <v>63</v>
      </c>
      <c r="E188" s="85">
        <v>497472.75</v>
      </c>
      <c r="F188" s="85"/>
      <c r="G188" s="220"/>
      <c r="H188" s="220">
        <f>70000</f>
        <v>70000</v>
      </c>
      <c r="I188" s="85">
        <v>0</v>
      </c>
      <c r="J188" s="509">
        <f t="shared" si="56"/>
        <v>567472.75</v>
      </c>
      <c r="K188" s="85"/>
      <c r="L188" s="85"/>
      <c r="M188" s="85">
        <f>100000</f>
        <v>100000</v>
      </c>
      <c r="N188" s="85"/>
      <c r="O188" s="85"/>
      <c r="P188" s="85">
        <v>77481.4874</v>
      </c>
      <c r="Q188" s="85">
        <v>39797.82</v>
      </c>
      <c r="R188" s="510">
        <f t="shared" si="57"/>
        <v>217279.3074</v>
      </c>
      <c r="S188" s="85">
        <v>333068.510106667</v>
      </c>
      <c r="T188" s="509">
        <f t="shared" si="58"/>
        <v>350193.4426</v>
      </c>
    </row>
    <row r="189" customHeight="1" spans="1:20">
      <c r="A189" s="27">
        <v>8</v>
      </c>
      <c r="B189" s="11" t="s">
        <v>314</v>
      </c>
      <c r="C189" s="4" t="s">
        <v>315</v>
      </c>
      <c r="D189" s="15" t="s">
        <v>63</v>
      </c>
      <c r="E189" s="85">
        <v>497472.75</v>
      </c>
      <c r="F189" s="85"/>
      <c r="G189" s="220"/>
      <c r="H189" s="220">
        <f>120000</f>
        <v>120000</v>
      </c>
      <c r="I189" s="85"/>
      <c r="J189" s="509">
        <f t="shared" si="56"/>
        <v>617472.75</v>
      </c>
      <c r="K189" s="85"/>
      <c r="L189" s="85">
        <v>20000</v>
      </c>
      <c r="M189" s="85">
        <v>96206.93</v>
      </c>
      <c r="N189" s="85"/>
      <c r="O189" s="85"/>
      <c r="P189" s="85">
        <v>86481.4874</v>
      </c>
      <c r="Q189" s="85">
        <v>39797.82</v>
      </c>
      <c r="R189" s="510">
        <f t="shared" si="57"/>
        <v>242486.2374</v>
      </c>
      <c r="S189" s="85">
        <v>361015.23952</v>
      </c>
      <c r="T189" s="509">
        <f t="shared" si="58"/>
        <v>374986.5126</v>
      </c>
    </row>
    <row r="190" customHeight="1" spans="1:20">
      <c r="A190" s="27">
        <v>9</v>
      </c>
      <c r="B190" s="11" t="s">
        <v>316</v>
      </c>
      <c r="C190" s="12" t="s">
        <v>317</v>
      </c>
      <c r="D190" s="15" t="s">
        <v>66</v>
      </c>
      <c r="E190" s="85">
        <v>482846.583333334</v>
      </c>
      <c r="F190" s="85"/>
      <c r="G190" s="220"/>
      <c r="H190" s="220">
        <f>70000</f>
        <v>70000</v>
      </c>
      <c r="I190" s="85"/>
      <c r="J190" s="509">
        <f t="shared" si="56"/>
        <v>552846.583333334</v>
      </c>
      <c r="K190" s="85"/>
      <c r="L190" s="85">
        <v>50000</v>
      </c>
      <c r="M190" s="85">
        <v>200000</v>
      </c>
      <c r="N190" s="85"/>
      <c r="O190" s="85"/>
      <c r="P190" s="85">
        <v>75059.3942000001</v>
      </c>
      <c r="Q190" s="85">
        <v>38627.7266666667</v>
      </c>
      <c r="R190" s="510">
        <f t="shared" si="57"/>
        <v>363687.120866667</v>
      </c>
      <c r="S190" s="85">
        <v>186836.882853334</v>
      </c>
      <c r="T190" s="509">
        <f t="shared" si="58"/>
        <v>189159.462466667</v>
      </c>
    </row>
    <row r="191" customHeight="1" spans="1:20">
      <c r="A191" s="27">
        <v>10</v>
      </c>
      <c r="B191" s="11" t="s">
        <v>318</v>
      </c>
      <c r="C191" s="12" t="s">
        <v>319</v>
      </c>
      <c r="D191" s="15" t="s">
        <v>170</v>
      </c>
      <c r="E191" s="85">
        <v>482662.666666667</v>
      </c>
      <c r="F191" s="85"/>
      <c r="G191" s="220"/>
      <c r="H191" s="220">
        <f t="shared" ref="H190:H199" si="59">60000</f>
        <v>60000</v>
      </c>
      <c r="I191" s="85"/>
      <c r="J191" s="509">
        <f t="shared" si="56"/>
        <v>542662.666666667</v>
      </c>
      <c r="K191" s="85"/>
      <c r="L191" s="85">
        <f t="shared" ref="L191:L195" si="60">10000</f>
        <v>10000</v>
      </c>
      <c r="M191" s="85">
        <v>100000</v>
      </c>
      <c r="N191" s="85"/>
      <c r="O191" s="85">
        <v>7571.96666666667</v>
      </c>
      <c r="P191" s="85">
        <v>71865.9836000001</v>
      </c>
      <c r="Q191" s="85">
        <v>38613.0133333334</v>
      </c>
      <c r="R191" s="510">
        <f t="shared" si="57"/>
        <v>228050.9636</v>
      </c>
      <c r="S191" s="85">
        <v>302369.24839</v>
      </c>
      <c r="T191" s="509">
        <f t="shared" si="58"/>
        <v>314611.703066667</v>
      </c>
    </row>
    <row r="192" customHeight="1" spans="1:20">
      <c r="A192" s="27">
        <v>11</v>
      </c>
      <c r="B192" s="18" t="s">
        <v>320</v>
      </c>
      <c r="C192" s="4" t="s">
        <v>321</v>
      </c>
      <c r="D192" s="15" t="s">
        <v>69</v>
      </c>
      <c r="E192" s="220">
        <v>468828.166666667</v>
      </c>
      <c r="F192" s="85"/>
      <c r="G192" s="220"/>
      <c r="H192" s="220">
        <v>60000</v>
      </c>
      <c r="I192" s="85"/>
      <c r="J192" s="509">
        <f t="shared" si="56"/>
        <v>528828.166666667</v>
      </c>
      <c r="K192" s="85"/>
      <c r="L192" s="85">
        <v>50000</v>
      </c>
      <c r="M192" s="85"/>
      <c r="N192" s="85"/>
      <c r="O192" s="85">
        <v>7366.57291666668</v>
      </c>
      <c r="P192" s="85">
        <v>69611.9612750001</v>
      </c>
      <c r="Q192" s="85">
        <v>37506.2533333334</v>
      </c>
      <c r="R192" s="510">
        <f t="shared" si="57"/>
        <v>164484.787525</v>
      </c>
      <c r="S192" s="85">
        <v>350876.186356666</v>
      </c>
      <c r="T192" s="509">
        <f t="shared" si="58"/>
        <v>364343.379141667</v>
      </c>
    </row>
    <row r="193" customHeight="1" spans="1:20">
      <c r="A193" s="27">
        <v>12</v>
      </c>
      <c r="B193" s="11" t="s">
        <v>322</v>
      </c>
      <c r="C193" s="4" t="s">
        <v>321</v>
      </c>
      <c r="D193" s="15" t="s">
        <v>131</v>
      </c>
      <c r="E193" s="220">
        <v>454993.583333333</v>
      </c>
      <c r="F193" s="85"/>
      <c r="G193" s="220"/>
      <c r="H193" s="220">
        <f t="shared" si="59"/>
        <v>60000</v>
      </c>
      <c r="I193" s="85"/>
      <c r="J193" s="509">
        <f t="shared" si="56"/>
        <v>514993.583333333</v>
      </c>
      <c r="K193" s="85"/>
      <c r="L193" s="85">
        <f t="shared" si="60"/>
        <v>10000</v>
      </c>
      <c r="M193" s="85">
        <f>100000</f>
        <v>100000</v>
      </c>
      <c r="N193" s="85"/>
      <c r="O193" s="85"/>
      <c r="P193" s="85">
        <v>68646.9374</v>
      </c>
      <c r="Q193" s="85">
        <v>36399.4866666666</v>
      </c>
      <c r="R193" s="510">
        <f t="shared" si="57"/>
        <v>215046.424066667</v>
      </c>
      <c r="S193" s="85">
        <v>287753.287573333</v>
      </c>
      <c r="T193" s="509">
        <f t="shared" si="58"/>
        <v>299947.159266666</v>
      </c>
    </row>
    <row r="194" customHeight="1" spans="1:20">
      <c r="A194" s="27">
        <v>13</v>
      </c>
      <c r="B194" s="11" t="s">
        <v>323</v>
      </c>
      <c r="C194" s="4" t="s">
        <v>321</v>
      </c>
      <c r="D194" s="15" t="s">
        <v>131</v>
      </c>
      <c r="E194" s="220">
        <v>454993.583333333</v>
      </c>
      <c r="F194" s="85"/>
      <c r="G194" s="220"/>
      <c r="H194" s="220">
        <f t="shared" si="59"/>
        <v>60000</v>
      </c>
      <c r="I194" s="85"/>
      <c r="J194" s="509">
        <f t="shared" si="56"/>
        <v>514993.583333333</v>
      </c>
      <c r="K194" s="85"/>
      <c r="L194" s="85">
        <f t="shared" si="60"/>
        <v>10000</v>
      </c>
      <c r="M194" s="85">
        <v>87500</v>
      </c>
      <c r="N194" s="85"/>
      <c r="O194" s="85">
        <v>7161.17708333333</v>
      </c>
      <c r="P194" s="85">
        <v>67357.925525</v>
      </c>
      <c r="Q194" s="85">
        <v>36399.4866666666</v>
      </c>
      <c r="R194" s="510">
        <f t="shared" si="57"/>
        <v>208418.589275</v>
      </c>
      <c r="S194" s="85">
        <v>294633.016323333</v>
      </c>
      <c r="T194" s="509">
        <f t="shared" si="58"/>
        <v>306574.994058333</v>
      </c>
    </row>
    <row r="195" customHeight="1" spans="1:20">
      <c r="A195" s="27">
        <v>14</v>
      </c>
      <c r="B195" s="11" t="s">
        <v>324</v>
      </c>
      <c r="C195" s="4" t="s">
        <v>321</v>
      </c>
      <c r="D195" s="15" t="s">
        <v>131</v>
      </c>
      <c r="E195" s="220">
        <v>454993.583333333</v>
      </c>
      <c r="F195" s="85"/>
      <c r="G195" s="220"/>
      <c r="H195" s="220">
        <f t="shared" si="59"/>
        <v>60000</v>
      </c>
      <c r="I195" s="85"/>
      <c r="J195" s="509">
        <f t="shared" si="56"/>
        <v>514993.583333333</v>
      </c>
      <c r="K195" s="85"/>
      <c r="L195" s="85"/>
      <c r="M195" s="85"/>
      <c r="N195" s="85">
        <v>40000</v>
      </c>
      <c r="O195" s="85">
        <v>7161.17708333333</v>
      </c>
      <c r="P195" s="85">
        <v>67357.925525</v>
      </c>
      <c r="Q195" s="85">
        <v>36399.4866666666</v>
      </c>
      <c r="R195" s="510">
        <f t="shared" si="57"/>
        <v>150918.589275</v>
      </c>
      <c r="S195" s="85">
        <v>352133.016323333</v>
      </c>
      <c r="T195" s="509">
        <f t="shared" si="58"/>
        <v>364074.994058333</v>
      </c>
    </row>
    <row r="196" customHeight="1" spans="1:20">
      <c r="A196" s="27">
        <v>15</v>
      </c>
      <c r="B196" s="11" t="s">
        <v>325</v>
      </c>
      <c r="C196" s="4" t="s">
        <v>321</v>
      </c>
      <c r="D196" s="15" t="s">
        <v>69</v>
      </c>
      <c r="E196" s="220">
        <v>468828.166666667</v>
      </c>
      <c r="F196" s="85"/>
      <c r="G196" s="220"/>
      <c r="H196" s="220">
        <f t="shared" si="59"/>
        <v>60000</v>
      </c>
      <c r="I196" s="85"/>
      <c r="J196" s="509">
        <f t="shared" si="56"/>
        <v>528828.166666667</v>
      </c>
      <c r="K196" s="85"/>
      <c r="L196" s="85">
        <f>10000</f>
        <v>10000</v>
      </c>
      <c r="M196" s="85"/>
      <c r="N196" s="85">
        <v>40000</v>
      </c>
      <c r="O196" s="85"/>
      <c r="P196" s="85">
        <v>70937.9444000001</v>
      </c>
      <c r="Q196" s="85">
        <v>37506.2533333334</v>
      </c>
      <c r="R196" s="510">
        <f t="shared" si="57"/>
        <v>158444.197733334</v>
      </c>
      <c r="S196" s="85">
        <v>358037.36344</v>
      </c>
      <c r="T196" s="509">
        <f t="shared" si="58"/>
        <v>370383.968933333</v>
      </c>
    </row>
    <row r="197" customHeight="1" spans="1:20">
      <c r="A197" s="27">
        <v>16</v>
      </c>
      <c r="B197" s="11" t="s">
        <v>326</v>
      </c>
      <c r="C197" s="12" t="s">
        <v>327</v>
      </c>
      <c r="D197" s="15" t="s">
        <v>151</v>
      </c>
      <c r="E197" s="220">
        <v>399131.166666667</v>
      </c>
      <c r="F197" s="85"/>
      <c r="G197" s="220"/>
      <c r="H197" s="220">
        <f t="shared" si="59"/>
        <v>60000</v>
      </c>
      <c r="I197" s="85"/>
      <c r="J197" s="509">
        <f t="shared" si="56"/>
        <v>459131.166666667</v>
      </c>
      <c r="K197" s="85"/>
      <c r="L197" s="85">
        <f>30000</f>
        <v>30000</v>
      </c>
      <c r="M197" s="85"/>
      <c r="N197" s="85"/>
      <c r="O197" s="85">
        <v>6286.69791666668</v>
      </c>
      <c r="P197" s="85">
        <v>58264.5155750001</v>
      </c>
      <c r="Q197" s="85">
        <v>31930.4933333334</v>
      </c>
      <c r="R197" s="510">
        <f t="shared" si="57"/>
        <v>126481.706825</v>
      </c>
      <c r="S197" s="85">
        <v>323670.427233334</v>
      </c>
      <c r="T197" s="509">
        <f t="shared" si="58"/>
        <v>332649.459841667</v>
      </c>
    </row>
    <row r="198" customHeight="1" spans="1:20">
      <c r="A198" s="27">
        <v>17</v>
      </c>
      <c r="B198" s="11" t="s">
        <v>328</v>
      </c>
      <c r="C198" s="12" t="s">
        <v>329</v>
      </c>
      <c r="D198" s="10" t="s">
        <v>80</v>
      </c>
      <c r="E198" s="85">
        <v>372145.333333333</v>
      </c>
      <c r="F198" s="85"/>
      <c r="G198" s="220"/>
      <c r="H198" s="220">
        <f t="shared" si="59"/>
        <v>60000</v>
      </c>
      <c r="I198" s="85"/>
      <c r="J198" s="509">
        <f t="shared" si="56"/>
        <v>432145.333333333</v>
      </c>
      <c r="K198" s="85"/>
      <c r="L198" s="85">
        <f>30000</f>
        <v>30000</v>
      </c>
      <c r="M198" s="85"/>
      <c r="N198" s="85"/>
      <c r="O198" s="85">
        <v>5889.44583333333</v>
      </c>
      <c r="P198" s="85">
        <v>53867.16695</v>
      </c>
      <c r="Q198" s="85">
        <v>29771.6266666666</v>
      </c>
      <c r="R198" s="510">
        <f t="shared" si="57"/>
        <v>119528.23945</v>
      </c>
      <c r="S198" s="85">
        <v>310884.423736666</v>
      </c>
      <c r="T198" s="509">
        <f t="shared" si="58"/>
        <v>312617.093883333</v>
      </c>
    </row>
    <row r="199" customHeight="1" spans="1:20">
      <c r="A199" s="27">
        <v>18</v>
      </c>
      <c r="B199" s="11" t="s">
        <v>330</v>
      </c>
      <c r="C199" s="4" t="s">
        <v>331</v>
      </c>
      <c r="D199" s="15" t="s">
        <v>131</v>
      </c>
      <c r="E199" s="220">
        <v>454993.583333333</v>
      </c>
      <c r="F199" s="85"/>
      <c r="G199" s="220"/>
      <c r="H199" s="220">
        <f t="shared" si="59"/>
        <v>60000</v>
      </c>
      <c r="I199" s="85"/>
      <c r="J199" s="509">
        <f t="shared" si="56"/>
        <v>514993.583333333</v>
      </c>
      <c r="K199" s="85"/>
      <c r="L199" s="85">
        <v>10000</v>
      </c>
      <c r="M199" s="85">
        <v>45833.33</v>
      </c>
      <c r="N199" s="85">
        <v>50000</v>
      </c>
      <c r="O199" s="85"/>
      <c r="P199" s="85">
        <v>68646.9374</v>
      </c>
      <c r="Q199" s="85">
        <v>36399.4866666666</v>
      </c>
      <c r="R199" s="510">
        <f t="shared" si="57"/>
        <v>210879.754066667</v>
      </c>
      <c r="S199" s="85">
        <v>293255.467573333</v>
      </c>
      <c r="T199" s="509">
        <f t="shared" si="58"/>
        <v>304113.829266666</v>
      </c>
    </row>
    <row r="200" customHeight="1" spans="1:20">
      <c r="A200" s="27">
        <v>19</v>
      </c>
      <c r="B200" s="11" t="s">
        <v>332</v>
      </c>
      <c r="C200" s="4" t="s">
        <v>333</v>
      </c>
      <c r="D200" s="15" t="s">
        <v>74</v>
      </c>
      <c r="E200" s="85">
        <v>381140.666666666</v>
      </c>
      <c r="F200" s="85"/>
      <c r="G200" s="220"/>
      <c r="H200" s="220">
        <f>50000+10000</f>
        <v>60000</v>
      </c>
      <c r="I200" s="85"/>
      <c r="J200" s="509">
        <f t="shared" si="56"/>
        <v>441140.666666666</v>
      </c>
      <c r="K200" s="85"/>
      <c r="L200" s="85">
        <v>100000</v>
      </c>
      <c r="M200" s="85">
        <f>70000+30000</f>
        <v>100000</v>
      </c>
      <c r="N200" s="85">
        <v>50000</v>
      </c>
      <c r="O200" s="85">
        <v>6021.86458333332</v>
      </c>
      <c r="P200" s="85">
        <v>55332.9587749999</v>
      </c>
      <c r="Q200" s="85">
        <v>30491.2533333333</v>
      </c>
      <c r="R200" s="510">
        <f t="shared" si="57"/>
        <v>341846.076691667</v>
      </c>
      <c r="S200" s="85">
        <v>90502.4676899997</v>
      </c>
      <c r="T200" s="509">
        <f t="shared" si="58"/>
        <v>99294.5899749995</v>
      </c>
    </row>
    <row r="201" customHeight="1" spans="1:20">
      <c r="A201" s="27">
        <v>20</v>
      </c>
      <c r="B201" s="11" t="s">
        <v>334</v>
      </c>
      <c r="C201" s="4" t="s">
        <v>331</v>
      </c>
      <c r="D201" s="15" t="s">
        <v>131</v>
      </c>
      <c r="E201" s="220">
        <v>454993.583333333</v>
      </c>
      <c r="F201" s="85"/>
      <c r="G201" s="220"/>
      <c r="H201" s="220">
        <f>110000</f>
        <v>110000</v>
      </c>
      <c r="I201" s="85"/>
      <c r="J201" s="509">
        <f t="shared" si="56"/>
        <v>564993.583333333</v>
      </c>
      <c r="K201" s="85"/>
      <c r="L201" s="85">
        <f>10000</f>
        <v>10000</v>
      </c>
      <c r="M201" s="85">
        <v>99734.99</v>
      </c>
      <c r="N201" s="85"/>
      <c r="O201" s="85">
        <v>7161.17708333333</v>
      </c>
      <c r="P201" s="85">
        <v>76357.9255249999</v>
      </c>
      <c r="Q201" s="85">
        <v>36399.4866666666</v>
      </c>
      <c r="R201" s="510">
        <f t="shared" si="57"/>
        <v>229653.579275</v>
      </c>
      <c r="S201" s="85">
        <v>374544.151851398</v>
      </c>
      <c r="T201" s="509">
        <f t="shared" si="58"/>
        <v>335340.004058333</v>
      </c>
    </row>
    <row r="202" customHeight="1" spans="1:20">
      <c r="A202" s="27">
        <v>21</v>
      </c>
      <c r="B202" s="11" t="s">
        <v>335</v>
      </c>
      <c r="C202" s="4" t="s">
        <v>336</v>
      </c>
      <c r="D202" s="15" t="s">
        <v>80</v>
      </c>
      <c r="E202" s="85">
        <v>372145.333333333</v>
      </c>
      <c r="F202" s="85"/>
      <c r="G202" s="220"/>
      <c r="H202" s="220">
        <v>60000</v>
      </c>
      <c r="I202" s="85"/>
      <c r="J202" s="509">
        <f t="shared" si="56"/>
        <v>432145.333333333</v>
      </c>
      <c r="K202" s="85"/>
      <c r="L202" s="85"/>
      <c r="M202" s="85">
        <v>20000</v>
      </c>
      <c r="N202" s="85"/>
      <c r="O202" s="85"/>
      <c r="P202" s="85">
        <v>54927.2671999999</v>
      </c>
      <c r="Q202" s="85">
        <v>29771.6266666666</v>
      </c>
      <c r="R202" s="510">
        <f t="shared" si="57"/>
        <v>104698.893866667</v>
      </c>
      <c r="S202" s="85">
        <v>326192.86144</v>
      </c>
      <c r="T202" s="509">
        <f t="shared" si="58"/>
        <v>327446.439466667</v>
      </c>
    </row>
    <row r="203" customHeight="1" spans="1:20">
      <c r="A203" s="27">
        <v>22</v>
      </c>
      <c r="B203" s="18" t="s">
        <v>337</v>
      </c>
      <c r="C203" s="12" t="s">
        <v>338</v>
      </c>
      <c r="D203" s="15" t="s">
        <v>88</v>
      </c>
      <c r="E203" s="220">
        <v>338711.666666667</v>
      </c>
      <c r="F203" s="85"/>
      <c r="G203" s="220"/>
      <c r="H203" s="220">
        <f t="shared" ref="H203:H205" si="61">60000</f>
        <v>60000</v>
      </c>
      <c r="I203" s="4"/>
      <c r="J203" s="509">
        <f t="shared" si="56"/>
        <v>398711.666666667</v>
      </c>
      <c r="K203" s="85"/>
      <c r="L203" s="85">
        <v>30000</v>
      </c>
      <c r="M203" s="85">
        <f>80000</f>
        <v>80000</v>
      </c>
      <c r="N203" s="85">
        <v>20000</v>
      </c>
      <c r="O203" s="85">
        <v>5566.86458333332</v>
      </c>
      <c r="P203" s="85">
        <v>48388.616375</v>
      </c>
      <c r="Q203" s="85">
        <v>27096.9333333334</v>
      </c>
      <c r="R203" s="510">
        <f t="shared" si="57"/>
        <v>211052.414291667</v>
      </c>
      <c r="S203" s="85">
        <v>186154.70245</v>
      </c>
      <c r="T203" s="509">
        <f t="shared" si="58"/>
        <v>187659.252375</v>
      </c>
    </row>
    <row r="204" customHeight="1" spans="1:20">
      <c r="A204" s="27">
        <v>23</v>
      </c>
      <c r="B204" s="18" t="s">
        <v>339</v>
      </c>
      <c r="C204" s="12" t="s">
        <v>338</v>
      </c>
      <c r="D204" s="15" t="s">
        <v>88</v>
      </c>
      <c r="E204" s="220">
        <v>347016.166666666</v>
      </c>
      <c r="F204" s="85"/>
      <c r="G204" s="220"/>
      <c r="H204" s="220">
        <f t="shared" si="61"/>
        <v>60000</v>
      </c>
      <c r="I204" s="4"/>
      <c r="J204" s="509">
        <f t="shared" si="56"/>
        <v>407016.166666666</v>
      </c>
      <c r="K204" s="85"/>
      <c r="L204" s="85">
        <v>10000</v>
      </c>
      <c r="M204" s="85">
        <v>86456</v>
      </c>
      <c r="N204" s="85">
        <v>20000</v>
      </c>
      <c r="O204" s="85"/>
      <c r="P204" s="85">
        <v>50765.8771999999</v>
      </c>
      <c r="Q204" s="85">
        <v>27761.2933333333</v>
      </c>
      <c r="R204" s="510">
        <f t="shared" si="57"/>
        <v>194983.170533333</v>
      </c>
      <c r="S204" s="85">
        <v>205142.037866667</v>
      </c>
      <c r="T204" s="509">
        <f t="shared" si="58"/>
        <v>212032.996133333</v>
      </c>
    </row>
    <row r="205" s="1" customFormat="1" ht="18.75" customHeight="1" spans="1:20">
      <c r="A205" s="27">
        <v>24</v>
      </c>
      <c r="B205" s="18" t="s">
        <v>340</v>
      </c>
      <c r="C205" s="4" t="s">
        <v>341</v>
      </c>
      <c r="D205" s="10" t="s">
        <v>99</v>
      </c>
      <c r="E205" s="85">
        <v>338711.666666667</v>
      </c>
      <c r="F205" s="85"/>
      <c r="G205" s="220"/>
      <c r="H205" s="220">
        <f t="shared" si="61"/>
        <v>60000</v>
      </c>
      <c r="I205" s="85"/>
      <c r="J205" s="509">
        <f t="shared" si="56"/>
        <v>398711.666666667</v>
      </c>
      <c r="K205" s="85"/>
      <c r="L205" s="85"/>
      <c r="M205" s="85"/>
      <c r="N205" s="85">
        <v>100000</v>
      </c>
      <c r="O205" s="85"/>
      <c r="P205" s="85">
        <v>49390.6520000001</v>
      </c>
      <c r="Q205" s="85">
        <v>27096.9333333334</v>
      </c>
      <c r="R205" s="510">
        <f t="shared" si="57"/>
        <v>176487.585333333</v>
      </c>
      <c r="S205" s="85">
        <v>215424.7428</v>
      </c>
      <c r="T205" s="509">
        <f t="shared" si="58"/>
        <v>222224.081333333</v>
      </c>
    </row>
    <row r="206" s="1" customFormat="1" customHeight="1" spans="1:20">
      <c r="A206" s="27">
        <v>25</v>
      </c>
      <c r="B206" s="18" t="s">
        <v>342</v>
      </c>
      <c r="C206" s="12" t="s">
        <v>343</v>
      </c>
      <c r="D206" s="10" t="s">
        <v>344</v>
      </c>
      <c r="E206" s="85">
        <v>330408.083333333</v>
      </c>
      <c r="F206" s="85"/>
      <c r="G206" s="220"/>
      <c r="H206" s="220">
        <v>60000</v>
      </c>
      <c r="I206" s="85"/>
      <c r="J206" s="509">
        <f t="shared" si="56"/>
        <v>390408.083333333</v>
      </c>
      <c r="K206" s="85"/>
      <c r="L206" s="686"/>
      <c r="M206" s="686"/>
      <c r="N206" s="686">
        <v>50000</v>
      </c>
      <c r="O206" s="4"/>
      <c r="P206" s="686">
        <v>48015.5929999999</v>
      </c>
      <c r="Q206" s="85">
        <v>26432.6466666666</v>
      </c>
      <c r="R206" s="510">
        <f t="shared" si="57"/>
        <v>124448.239666667</v>
      </c>
      <c r="S206" s="85">
        <v>265424.7428</v>
      </c>
      <c r="T206" s="509">
        <f t="shared" si="58"/>
        <v>265959.843666667</v>
      </c>
    </row>
    <row r="207" customHeight="1" spans="1:20">
      <c r="A207" s="27">
        <v>26</v>
      </c>
      <c r="B207" s="18" t="s">
        <v>345</v>
      </c>
      <c r="C207" s="12" t="s">
        <v>346</v>
      </c>
      <c r="D207" s="15" t="s">
        <v>105</v>
      </c>
      <c r="E207" s="85">
        <v>308920.666666667</v>
      </c>
      <c r="F207" s="85"/>
      <c r="G207" s="220"/>
      <c r="H207" s="220">
        <f t="shared" ref="H207:H214" si="62">50000</f>
        <v>50000</v>
      </c>
      <c r="I207" s="85"/>
      <c r="J207" s="509">
        <f t="shared" si="56"/>
        <v>358920.666666667</v>
      </c>
      <c r="K207" s="85"/>
      <c r="L207" s="85">
        <f>20000</f>
        <v>20000</v>
      </c>
      <c r="M207" s="85">
        <v>100000</v>
      </c>
      <c r="N207" s="85"/>
      <c r="O207" s="916">
        <v>5013.73541666668</v>
      </c>
      <c r="P207" s="85">
        <v>41754.790025</v>
      </c>
      <c r="Q207" s="85">
        <v>24713.6533333334</v>
      </c>
      <c r="R207" s="510">
        <f t="shared" si="57"/>
        <v>191482.178775</v>
      </c>
      <c r="S207" s="85">
        <v>160618.787396667</v>
      </c>
      <c r="T207" s="509">
        <f t="shared" si="58"/>
        <v>167438.487891667</v>
      </c>
    </row>
    <row r="208" customHeight="1" spans="1:20">
      <c r="A208" s="27">
        <v>27</v>
      </c>
      <c r="B208" s="18" t="s">
        <v>347</v>
      </c>
      <c r="C208" s="12" t="s">
        <v>348</v>
      </c>
      <c r="D208" s="15" t="s">
        <v>105</v>
      </c>
      <c r="E208" s="85">
        <v>308920.666666667</v>
      </c>
      <c r="F208" s="85"/>
      <c r="G208" s="220"/>
      <c r="H208" s="220">
        <f t="shared" si="62"/>
        <v>50000</v>
      </c>
      <c r="I208" s="85"/>
      <c r="J208" s="509">
        <f t="shared" si="56"/>
        <v>358920.666666667</v>
      </c>
      <c r="K208" s="85"/>
      <c r="L208" s="85">
        <f>12000-2000</f>
        <v>10000</v>
      </c>
      <c r="M208" s="85">
        <v>50000</v>
      </c>
      <c r="N208" s="85">
        <v>30000</v>
      </c>
      <c r="O208" s="85">
        <v>5013.73541666668</v>
      </c>
      <c r="P208" s="85">
        <v>41754.790025</v>
      </c>
      <c r="Q208" s="85">
        <v>24713.6533333334</v>
      </c>
      <c r="R208" s="510">
        <f t="shared" si="57"/>
        <v>161482.178775</v>
      </c>
      <c r="S208" s="85">
        <v>190618.787396667</v>
      </c>
      <c r="T208" s="509">
        <f t="shared" si="58"/>
        <v>197438.487891667</v>
      </c>
    </row>
    <row r="209" customHeight="1" spans="1:20">
      <c r="A209" s="27">
        <v>28</v>
      </c>
      <c r="B209" s="18" t="s">
        <v>349</v>
      </c>
      <c r="C209" s="12" t="s">
        <v>350</v>
      </c>
      <c r="D209" s="15" t="s">
        <v>105</v>
      </c>
      <c r="E209" s="85">
        <v>308920.666666667</v>
      </c>
      <c r="F209" s="85"/>
      <c r="G209" s="220"/>
      <c r="H209" s="220">
        <f t="shared" si="62"/>
        <v>50000</v>
      </c>
      <c r="I209" s="85"/>
      <c r="J209" s="509">
        <f t="shared" si="56"/>
        <v>358920.666666667</v>
      </c>
      <c r="K209" s="85"/>
      <c r="L209" s="85">
        <v>40000</v>
      </c>
      <c r="M209" s="85"/>
      <c r="N209" s="85">
        <v>25000</v>
      </c>
      <c r="O209" s="85">
        <v>5013.73541666668</v>
      </c>
      <c r="P209" s="85">
        <v>41754.790025</v>
      </c>
      <c r="Q209" s="85">
        <v>24713.6533333334</v>
      </c>
      <c r="R209" s="510">
        <f t="shared" si="57"/>
        <v>136482.178775</v>
      </c>
      <c r="S209" s="85">
        <v>215618.787396667</v>
      </c>
      <c r="T209" s="509">
        <f t="shared" si="58"/>
        <v>222438.487891667</v>
      </c>
    </row>
    <row r="210" customHeight="1" spans="1:20">
      <c r="A210" s="27">
        <v>29</v>
      </c>
      <c r="B210" s="18" t="s">
        <v>351</v>
      </c>
      <c r="C210" s="4" t="s">
        <v>87</v>
      </c>
      <c r="D210" s="10" t="s">
        <v>344</v>
      </c>
      <c r="E210" s="85">
        <v>330408.083333333</v>
      </c>
      <c r="F210" s="85"/>
      <c r="G210" s="220"/>
      <c r="H210" s="220">
        <f>60000</f>
        <v>60000</v>
      </c>
      <c r="I210" s="85"/>
      <c r="J210" s="509">
        <f t="shared" si="56"/>
        <v>390408.083333333</v>
      </c>
      <c r="K210" s="85"/>
      <c r="L210" s="85">
        <v>50000</v>
      </c>
      <c r="M210" s="85">
        <f>32000</f>
        <v>32000</v>
      </c>
      <c r="N210" s="85">
        <v>10000</v>
      </c>
      <c r="O210" s="85">
        <v>5319.80416666667</v>
      </c>
      <c r="P210" s="85">
        <v>47058.0138499999</v>
      </c>
      <c r="Q210" s="85">
        <v>26432.6466666666</v>
      </c>
      <c r="R210" s="510">
        <f t="shared" si="57"/>
        <v>170810.464683333</v>
      </c>
      <c r="S210" s="85">
        <v>240130.567436666</v>
      </c>
      <c r="T210" s="509">
        <f t="shared" si="58"/>
        <v>219597.61865</v>
      </c>
    </row>
    <row r="211" customHeight="1" spans="1:20">
      <c r="A211" s="27">
        <v>30</v>
      </c>
      <c r="B211" s="18" t="s">
        <v>352</v>
      </c>
      <c r="C211" s="12" t="s">
        <v>348</v>
      </c>
      <c r="D211" s="15" t="s">
        <v>105</v>
      </c>
      <c r="E211" s="85">
        <v>308920.666666667</v>
      </c>
      <c r="F211" s="85"/>
      <c r="G211" s="220"/>
      <c r="H211" s="220">
        <f t="shared" si="62"/>
        <v>50000</v>
      </c>
      <c r="I211" s="85"/>
      <c r="J211" s="509">
        <f t="shared" si="56"/>
        <v>358920.666666667</v>
      </c>
      <c r="K211" s="85"/>
      <c r="L211" s="85">
        <v>30000</v>
      </c>
      <c r="M211" s="85">
        <v>0</v>
      </c>
      <c r="N211" s="85">
        <v>30000</v>
      </c>
      <c r="O211" s="85">
        <v>5013.73541666668</v>
      </c>
      <c r="P211" s="85">
        <v>41754.790025</v>
      </c>
      <c r="Q211" s="85">
        <v>24713.6533333334</v>
      </c>
      <c r="R211" s="510">
        <f t="shared" si="57"/>
        <v>131482.178775</v>
      </c>
      <c r="S211" s="85">
        <v>220618.787396667</v>
      </c>
      <c r="T211" s="509">
        <f t="shared" si="58"/>
        <v>227438.487891667</v>
      </c>
    </row>
    <row r="212" customHeight="1" spans="1:20">
      <c r="A212" s="27">
        <v>31</v>
      </c>
      <c r="B212" s="18" t="s">
        <v>353</v>
      </c>
      <c r="C212" s="12" t="s">
        <v>354</v>
      </c>
      <c r="D212" s="15" t="s">
        <v>108</v>
      </c>
      <c r="E212" s="676">
        <v>301910.75</v>
      </c>
      <c r="F212" s="85"/>
      <c r="G212" s="220"/>
      <c r="H212" s="220">
        <f t="shared" si="62"/>
        <v>50000</v>
      </c>
      <c r="I212" s="85"/>
      <c r="J212" s="509">
        <f t="shared" si="56"/>
        <v>351910.75</v>
      </c>
      <c r="K212" s="85"/>
      <c r="L212" s="85">
        <v>15000</v>
      </c>
      <c r="M212" s="85"/>
      <c r="N212" s="85"/>
      <c r="O212" s="85"/>
      <c r="P212" s="686">
        <v>41496.4202</v>
      </c>
      <c r="Q212" s="687">
        <v>24152.86</v>
      </c>
      <c r="R212" s="510">
        <f t="shared" si="57"/>
        <v>80649.2802</v>
      </c>
      <c r="S212" s="85">
        <v>265162.227200001</v>
      </c>
      <c r="T212" s="509">
        <f t="shared" si="58"/>
        <v>271261.4698</v>
      </c>
    </row>
    <row r="213" customHeight="1" spans="1:20">
      <c r="A213" s="27">
        <v>32</v>
      </c>
      <c r="B213" s="18" t="s">
        <v>355</v>
      </c>
      <c r="C213" s="12" t="s">
        <v>354</v>
      </c>
      <c r="D213" s="15" t="s">
        <v>108</v>
      </c>
      <c r="E213" s="676">
        <v>301910.75</v>
      </c>
      <c r="F213" s="85"/>
      <c r="G213" s="220"/>
      <c r="H213" s="220">
        <f t="shared" si="62"/>
        <v>50000</v>
      </c>
      <c r="I213" s="85"/>
      <c r="J213" s="509">
        <f t="shared" si="56"/>
        <v>351910.75</v>
      </c>
      <c r="K213" s="85"/>
      <c r="L213" s="85">
        <v>20000</v>
      </c>
      <c r="M213" s="85">
        <v>40000</v>
      </c>
      <c r="N213" s="85"/>
      <c r="O213" s="85"/>
      <c r="P213" s="686">
        <v>41496.4202</v>
      </c>
      <c r="Q213" s="687">
        <v>24152.86</v>
      </c>
      <c r="R213" s="510">
        <f t="shared" si="57"/>
        <v>125649.2802</v>
      </c>
      <c r="S213" s="85">
        <v>220162.227200001</v>
      </c>
      <c r="T213" s="509">
        <f t="shared" si="58"/>
        <v>226261.4698</v>
      </c>
    </row>
    <row r="214" s="1" customFormat="1" customHeight="1" spans="1:20">
      <c r="A214" s="27">
        <v>33</v>
      </c>
      <c r="B214" s="18" t="s">
        <v>356</v>
      </c>
      <c r="C214" s="12" t="s">
        <v>343</v>
      </c>
      <c r="D214" s="15" t="s">
        <v>111</v>
      </c>
      <c r="E214" s="85">
        <v>294900.833333334</v>
      </c>
      <c r="F214" s="85"/>
      <c r="G214" s="220"/>
      <c r="H214" s="220">
        <v>50000</v>
      </c>
      <c r="I214" s="85"/>
      <c r="J214" s="509">
        <f t="shared" si="56"/>
        <v>344900.833333334</v>
      </c>
      <c r="K214" s="85"/>
      <c r="L214" s="686"/>
      <c r="M214" s="686"/>
      <c r="N214" s="686"/>
      <c r="O214" s="4"/>
      <c r="P214" s="686">
        <v>40335.5780000001</v>
      </c>
      <c r="Q214" s="687">
        <v>23592.0666666667</v>
      </c>
      <c r="R214" s="510">
        <f t="shared" ref="R214:R247" si="63">P214+O214+M214+N214+L214+K214+Q214</f>
        <v>63927.6446666668</v>
      </c>
      <c r="S214" s="85">
        <v>274796.556586667</v>
      </c>
      <c r="T214" s="509">
        <f t="shared" ref="T214:T247" si="64">J214-R214</f>
        <v>280973.188666667</v>
      </c>
    </row>
    <row r="215" s="1" customFormat="1" customHeight="1" spans="1:20">
      <c r="A215" s="27">
        <v>34</v>
      </c>
      <c r="B215" s="18" t="s">
        <v>357</v>
      </c>
      <c r="C215" s="12" t="s">
        <v>343</v>
      </c>
      <c r="D215" s="15" t="s">
        <v>111</v>
      </c>
      <c r="E215" s="85">
        <v>294900.833333334</v>
      </c>
      <c r="F215" s="85"/>
      <c r="G215" s="220"/>
      <c r="H215" s="220">
        <v>50000</v>
      </c>
      <c r="I215" s="85"/>
      <c r="J215" s="509">
        <f t="shared" si="56"/>
        <v>344900.833333334</v>
      </c>
      <c r="K215" s="85"/>
      <c r="L215" s="686"/>
      <c r="M215" s="686"/>
      <c r="N215" s="686">
        <v>37000</v>
      </c>
      <c r="O215" s="4"/>
      <c r="P215" s="686">
        <v>40335.5780000001</v>
      </c>
      <c r="Q215" s="687">
        <v>23592.0666666667</v>
      </c>
      <c r="R215" s="510">
        <f t="shared" si="63"/>
        <v>100927.644666667</v>
      </c>
      <c r="S215" s="85">
        <v>274796.556586667</v>
      </c>
      <c r="T215" s="509">
        <f t="shared" si="64"/>
        <v>243973.188666667</v>
      </c>
    </row>
    <row r="216" s="1" customFormat="1" customHeight="1" spans="1:20">
      <c r="A216" s="27">
        <v>35</v>
      </c>
      <c r="B216" s="18" t="s">
        <v>358</v>
      </c>
      <c r="C216" s="12" t="s">
        <v>343</v>
      </c>
      <c r="D216" s="15" t="s">
        <v>111</v>
      </c>
      <c r="E216" s="85">
        <v>294900.833333334</v>
      </c>
      <c r="F216" s="85"/>
      <c r="G216" s="220"/>
      <c r="H216" s="220">
        <v>50000</v>
      </c>
      <c r="I216" s="85"/>
      <c r="J216" s="509">
        <f t="shared" si="56"/>
        <v>344900.833333334</v>
      </c>
      <c r="K216" s="85"/>
      <c r="L216" s="686">
        <v>20000</v>
      </c>
      <c r="M216" s="686">
        <v>70000</v>
      </c>
      <c r="N216" s="686"/>
      <c r="O216" s="4"/>
      <c r="P216" s="686">
        <v>40335.5780000001</v>
      </c>
      <c r="Q216" s="687">
        <v>23592.0666666667</v>
      </c>
      <c r="R216" s="510">
        <f t="shared" si="63"/>
        <v>153927.644666667</v>
      </c>
      <c r="S216" s="85">
        <v>184796.556586667</v>
      </c>
      <c r="T216" s="509">
        <f t="shared" si="64"/>
        <v>190973.188666667</v>
      </c>
    </row>
    <row r="217" s="1" customFormat="1" customHeight="1" spans="1:21">
      <c r="A217" s="27">
        <v>36</v>
      </c>
      <c r="B217" s="18" t="s">
        <v>359</v>
      </c>
      <c r="C217" s="12" t="s">
        <v>343</v>
      </c>
      <c r="D217" s="15" t="s">
        <v>276</v>
      </c>
      <c r="E217" s="85">
        <v>287890.916666667</v>
      </c>
      <c r="F217" s="85"/>
      <c r="G217" s="220"/>
      <c r="H217" s="220">
        <v>50000</v>
      </c>
      <c r="I217" s="85"/>
      <c r="J217" s="509">
        <f t="shared" si="56"/>
        <v>337890.916666667</v>
      </c>
      <c r="K217" s="85"/>
      <c r="L217" s="686">
        <v>50000</v>
      </c>
      <c r="M217" s="686">
        <v>22361.11</v>
      </c>
      <c r="N217" s="686">
        <v>10000</v>
      </c>
      <c r="O217" s="4"/>
      <c r="P217" s="686">
        <v>39174.7358000001</v>
      </c>
      <c r="Q217" s="687">
        <v>23031.2733333334</v>
      </c>
      <c r="R217" s="510">
        <f t="shared" si="63"/>
        <v>144567.119133334</v>
      </c>
      <c r="S217" s="85">
        <v>254796.56</v>
      </c>
      <c r="T217" s="509">
        <f t="shared" si="64"/>
        <v>193323.797533333</v>
      </c>
      <c r="U217" s="13"/>
    </row>
    <row r="218" s="1" customFormat="1" customHeight="1" spans="1:21">
      <c r="A218" s="27">
        <v>37</v>
      </c>
      <c r="B218" s="18" t="s">
        <v>360</v>
      </c>
      <c r="C218" s="12" t="s">
        <v>343</v>
      </c>
      <c r="D218" s="15" t="s">
        <v>276</v>
      </c>
      <c r="E218" s="85">
        <v>287890.916666667</v>
      </c>
      <c r="F218" s="85"/>
      <c r="G218" s="220"/>
      <c r="H218" s="220">
        <v>50000</v>
      </c>
      <c r="I218" s="85"/>
      <c r="J218" s="509">
        <f t="shared" si="56"/>
        <v>337890.916666667</v>
      </c>
      <c r="K218" s="85"/>
      <c r="L218" s="686">
        <v>0</v>
      </c>
      <c r="M218" s="686">
        <v>0</v>
      </c>
      <c r="N218" s="686">
        <v>30000</v>
      </c>
      <c r="O218" s="4"/>
      <c r="P218" s="686">
        <v>39174.7358000001</v>
      </c>
      <c r="Q218" s="687">
        <v>23031.2733333334</v>
      </c>
      <c r="R218" s="510">
        <f t="shared" si="63"/>
        <v>92206.0091333335</v>
      </c>
      <c r="S218" s="85">
        <v>254796.56</v>
      </c>
      <c r="T218" s="509">
        <f t="shared" si="64"/>
        <v>245684.907533333</v>
      </c>
      <c r="U218" s="13"/>
    </row>
    <row r="219" customHeight="1" spans="1:20">
      <c r="A219" s="27">
        <v>38</v>
      </c>
      <c r="B219" s="11" t="s">
        <v>361</v>
      </c>
      <c r="C219" s="12" t="s">
        <v>362</v>
      </c>
      <c r="D219" s="15" t="s">
        <v>363</v>
      </c>
      <c r="E219" s="226">
        <v>255667.083333333</v>
      </c>
      <c r="F219" s="220"/>
      <c r="G219" s="220"/>
      <c r="H219" s="220">
        <f>30000</f>
        <v>30000</v>
      </c>
      <c r="I219" s="85">
        <f>4000</f>
        <v>4000</v>
      </c>
      <c r="J219" s="509">
        <f t="shared" si="56"/>
        <v>289667.083333333</v>
      </c>
      <c r="K219" s="85"/>
      <c r="L219" s="85">
        <v>60000</v>
      </c>
      <c r="M219" s="85">
        <v>67916.66</v>
      </c>
      <c r="N219" s="85">
        <v>22000</v>
      </c>
      <c r="O219" s="85">
        <v>4252.95625</v>
      </c>
      <c r="P219" s="85">
        <v>30192.936875</v>
      </c>
      <c r="Q219" s="85">
        <v>20453.3666666667</v>
      </c>
      <c r="R219" s="510">
        <f t="shared" si="63"/>
        <v>204815.919791667</v>
      </c>
      <c r="S219" s="85">
        <v>91849.6988533329</v>
      </c>
      <c r="T219" s="509">
        <f t="shared" si="64"/>
        <v>84851.163541666</v>
      </c>
    </row>
    <row r="220" customHeight="1" spans="1:20">
      <c r="A220" s="27">
        <v>39</v>
      </c>
      <c r="B220" s="11" t="s">
        <v>364</v>
      </c>
      <c r="C220" s="12" t="s">
        <v>362</v>
      </c>
      <c r="D220" s="15" t="s">
        <v>363</v>
      </c>
      <c r="E220" s="226">
        <v>255667.083333333</v>
      </c>
      <c r="F220" s="220"/>
      <c r="G220" s="220"/>
      <c r="H220" s="220">
        <f>30000</f>
        <v>30000</v>
      </c>
      <c r="I220" s="85">
        <f>7000</f>
        <v>7000</v>
      </c>
      <c r="J220" s="509">
        <f t="shared" si="56"/>
        <v>292667.083333333</v>
      </c>
      <c r="K220" s="85"/>
      <c r="L220" s="85">
        <v>40000</v>
      </c>
      <c r="M220" s="85">
        <f>14524.11</f>
        <v>14524.11</v>
      </c>
      <c r="N220" s="85">
        <v>20000</v>
      </c>
      <c r="O220" s="85"/>
      <c r="P220" s="85">
        <v>31498.469</v>
      </c>
      <c r="Q220" s="85">
        <v>20453.3666666667</v>
      </c>
      <c r="R220" s="510">
        <f t="shared" si="63"/>
        <v>126475.945666667</v>
      </c>
      <c r="S220" s="85">
        <v>166051.451386666</v>
      </c>
      <c r="T220" s="509">
        <f t="shared" si="64"/>
        <v>166191.137666666</v>
      </c>
    </row>
    <row r="221" customHeight="1" spans="1:20">
      <c r="A221" s="27">
        <v>40</v>
      </c>
      <c r="B221" s="11" t="s">
        <v>365</v>
      </c>
      <c r="C221" s="12" t="s">
        <v>362</v>
      </c>
      <c r="D221" s="15" t="s">
        <v>363</v>
      </c>
      <c r="E221" s="226">
        <v>255667.083333333</v>
      </c>
      <c r="F221" s="220"/>
      <c r="G221" s="220"/>
      <c r="H221" s="220">
        <f>30000</f>
        <v>30000</v>
      </c>
      <c r="I221" s="85">
        <f>4000</f>
        <v>4000</v>
      </c>
      <c r="J221" s="509">
        <f t="shared" si="56"/>
        <v>289667.083333333</v>
      </c>
      <c r="K221" s="85"/>
      <c r="L221" s="85">
        <v>35000</v>
      </c>
      <c r="M221" s="85">
        <v>74038.17</v>
      </c>
      <c r="N221" s="85">
        <v>10000</v>
      </c>
      <c r="O221" s="85">
        <v>4252.95625</v>
      </c>
      <c r="P221" s="85">
        <v>30192.936875</v>
      </c>
      <c r="Q221" s="85">
        <v>20453.3666666667</v>
      </c>
      <c r="R221" s="510">
        <f t="shared" si="63"/>
        <v>173937.429791667</v>
      </c>
      <c r="S221" s="85">
        <v>100728.188853333</v>
      </c>
      <c r="T221" s="509">
        <f t="shared" si="64"/>
        <v>115729.653541666</v>
      </c>
    </row>
    <row r="222" customHeight="1" spans="1:20">
      <c r="A222" s="27">
        <v>41</v>
      </c>
      <c r="B222" s="11" t="s">
        <v>366</v>
      </c>
      <c r="C222" s="12" t="s">
        <v>362</v>
      </c>
      <c r="D222" s="15" t="s">
        <v>363</v>
      </c>
      <c r="E222" s="226">
        <v>255667.083333333</v>
      </c>
      <c r="F222" s="220"/>
      <c r="G222" s="220"/>
      <c r="H222" s="220">
        <f>30000</f>
        <v>30000</v>
      </c>
      <c r="I222" s="85">
        <f>4000</f>
        <v>4000</v>
      </c>
      <c r="J222" s="509">
        <f t="shared" si="56"/>
        <v>289667.083333333</v>
      </c>
      <c r="K222" s="85"/>
      <c r="L222" s="85">
        <v>40000</v>
      </c>
      <c r="M222" s="85">
        <f>53445.82</f>
        <v>53445.82</v>
      </c>
      <c r="N222" s="85">
        <v>10000</v>
      </c>
      <c r="O222" s="85"/>
      <c r="P222" s="85">
        <v>30958.469</v>
      </c>
      <c r="Q222" s="85">
        <v>20453.3666666667</v>
      </c>
      <c r="R222" s="510">
        <f t="shared" si="63"/>
        <v>154857.655666667</v>
      </c>
      <c r="S222" s="85">
        <v>119633.741386666</v>
      </c>
      <c r="T222" s="509">
        <f t="shared" si="64"/>
        <v>134809.427666666</v>
      </c>
    </row>
    <row r="223" customHeight="1" spans="1:20">
      <c r="A223" s="27">
        <v>42</v>
      </c>
      <c r="B223" s="11" t="s">
        <v>367</v>
      </c>
      <c r="C223" s="12" t="s">
        <v>362</v>
      </c>
      <c r="D223" s="15" t="s">
        <v>368</v>
      </c>
      <c r="E223" s="226">
        <v>249683.75</v>
      </c>
      <c r="F223" s="220"/>
      <c r="G223" s="220"/>
      <c r="H223" s="220">
        <f>20000+10000</f>
        <v>30000</v>
      </c>
      <c r="I223" s="85">
        <f>7000</f>
        <v>7000</v>
      </c>
      <c r="J223" s="509">
        <f t="shared" ref="J223:J229" si="65">E223+F223+G223+H223+I223</f>
        <v>286683.75</v>
      </c>
      <c r="K223" s="85"/>
      <c r="L223" s="85">
        <v>50000</v>
      </c>
      <c r="M223" s="85">
        <f>26430.62</f>
        <v>26430.62</v>
      </c>
      <c r="N223" s="85">
        <v>10000</v>
      </c>
      <c r="O223" s="85"/>
      <c r="P223" s="85">
        <v>30507.629</v>
      </c>
      <c r="Q223" s="85">
        <v>19974.7</v>
      </c>
      <c r="R223" s="510">
        <f t="shared" si="63"/>
        <v>136912.949</v>
      </c>
      <c r="S223" s="85">
        <v>134565.058720001</v>
      </c>
      <c r="T223" s="509">
        <f t="shared" si="64"/>
        <v>149770.801</v>
      </c>
    </row>
    <row r="224" customHeight="1" spans="1:20">
      <c r="A224" s="27">
        <v>43</v>
      </c>
      <c r="B224" s="11" t="s">
        <v>369</v>
      </c>
      <c r="C224" s="12" t="s">
        <v>362</v>
      </c>
      <c r="D224" s="15" t="s">
        <v>368</v>
      </c>
      <c r="E224" s="226">
        <v>249683.75</v>
      </c>
      <c r="F224" s="220"/>
      <c r="G224" s="220"/>
      <c r="H224" s="220">
        <f>20000+10000</f>
        <v>30000</v>
      </c>
      <c r="I224" s="85">
        <f>4000</f>
        <v>4000</v>
      </c>
      <c r="J224" s="509">
        <f t="shared" si="65"/>
        <v>283683.75</v>
      </c>
      <c r="K224" s="85"/>
      <c r="L224" s="85">
        <v>50000</v>
      </c>
      <c r="M224" s="85">
        <v>49722.23</v>
      </c>
      <c r="N224" s="85">
        <v>20000</v>
      </c>
      <c r="O224" s="85"/>
      <c r="P224" s="85">
        <v>29967.629</v>
      </c>
      <c r="Q224" s="85">
        <v>19974.7</v>
      </c>
      <c r="R224" s="510">
        <f t="shared" si="63"/>
        <v>169664.559</v>
      </c>
      <c r="S224" s="85">
        <v>98777.4487200005</v>
      </c>
      <c r="T224" s="509">
        <f t="shared" si="64"/>
        <v>114019.191</v>
      </c>
    </row>
    <row r="225" customHeight="1" spans="1:20">
      <c r="A225" s="27">
        <v>44</v>
      </c>
      <c r="B225" s="14" t="s">
        <v>370</v>
      </c>
      <c r="C225" s="12" t="s">
        <v>362</v>
      </c>
      <c r="D225" s="15" t="s">
        <v>368</v>
      </c>
      <c r="E225" s="226">
        <v>249683.75</v>
      </c>
      <c r="F225" s="220"/>
      <c r="G225" s="220"/>
      <c r="H225" s="220">
        <f>20000+10000</f>
        <v>30000</v>
      </c>
      <c r="I225" s="85">
        <f>7000</f>
        <v>7000</v>
      </c>
      <c r="J225" s="509">
        <f t="shared" si="65"/>
        <v>286683.75</v>
      </c>
      <c r="K225" s="85"/>
      <c r="L225" s="85">
        <v>40000</v>
      </c>
      <c r="M225" s="85">
        <f>31719.9</f>
        <v>31719.9</v>
      </c>
      <c r="N225" s="85"/>
      <c r="O225" s="85"/>
      <c r="P225" s="85">
        <v>30507.629</v>
      </c>
      <c r="Q225" s="85">
        <v>19974.7</v>
      </c>
      <c r="R225" s="510">
        <f t="shared" si="63"/>
        <v>122202.229</v>
      </c>
      <c r="S225" s="85">
        <v>149275.77872</v>
      </c>
      <c r="T225" s="509">
        <f t="shared" si="64"/>
        <v>164481.521</v>
      </c>
    </row>
    <row r="226" customHeight="1" spans="1:20">
      <c r="A226" s="27">
        <v>45</v>
      </c>
      <c r="B226" s="11" t="s">
        <v>371</v>
      </c>
      <c r="C226" s="12" t="s">
        <v>362</v>
      </c>
      <c r="D226" s="15" t="s">
        <v>368</v>
      </c>
      <c r="E226" s="226">
        <v>249683.75</v>
      </c>
      <c r="F226" s="220"/>
      <c r="G226" s="220"/>
      <c r="H226" s="220">
        <f>20000+10000</f>
        <v>30000</v>
      </c>
      <c r="I226" s="85">
        <f>4000</f>
        <v>4000</v>
      </c>
      <c r="J226" s="509">
        <f t="shared" si="65"/>
        <v>283683.75</v>
      </c>
      <c r="K226" s="85"/>
      <c r="L226" s="85">
        <v>40000</v>
      </c>
      <c r="M226" s="85">
        <f>13750</f>
        <v>13750</v>
      </c>
      <c r="N226" s="85">
        <v>17000</v>
      </c>
      <c r="O226" s="85"/>
      <c r="P226" s="85">
        <v>29967.629</v>
      </c>
      <c r="Q226" s="85">
        <v>19974.7</v>
      </c>
      <c r="R226" s="510">
        <f t="shared" si="63"/>
        <v>120692.329</v>
      </c>
      <c r="S226" s="85">
        <v>164749.678720001</v>
      </c>
      <c r="T226" s="509">
        <f t="shared" si="64"/>
        <v>162991.421</v>
      </c>
    </row>
    <row r="227" customHeight="1" spans="1:20">
      <c r="A227" s="27">
        <v>46</v>
      </c>
      <c r="B227" s="18" t="s">
        <v>372</v>
      </c>
      <c r="C227" s="12" t="s">
        <v>362</v>
      </c>
      <c r="D227" s="15" t="s">
        <v>368</v>
      </c>
      <c r="E227" s="226">
        <v>249683.75</v>
      </c>
      <c r="F227" s="220"/>
      <c r="G227" s="220"/>
      <c r="H227" s="220">
        <f>20000+10000</f>
        <v>30000</v>
      </c>
      <c r="I227" s="85">
        <f>4000</f>
        <v>4000</v>
      </c>
      <c r="J227" s="509">
        <f t="shared" si="65"/>
        <v>283683.75</v>
      </c>
      <c r="K227" s="85"/>
      <c r="L227" s="85">
        <v>40000</v>
      </c>
      <c r="M227" s="85">
        <f>25708.34</f>
        <v>25708.34</v>
      </c>
      <c r="N227" s="85">
        <v>10000</v>
      </c>
      <c r="O227" s="85"/>
      <c r="P227" s="85">
        <v>29967.629</v>
      </c>
      <c r="Q227" s="85">
        <v>19974.7</v>
      </c>
      <c r="R227" s="510">
        <f t="shared" si="63"/>
        <v>125650.669</v>
      </c>
      <c r="S227" s="85">
        <v>142791.338720001</v>
      </c>
      <c r="T227" s="509">
        <f t="shared" si="64"/>
        <v>158033.081</v>
      </c>
    </row>
    <row r="228" customHeight="1" spans="1:20">
      <c r="A228" s="27">
        <v>47</v>
      </c>
      <c r="B228" s="11" t="s">
        <v>373</v>
      </c>
      <c r="C228" s="12" t="s">
        <v>374</v>
      </c>
      <c r="D228" s="15" t="s">
        <v>375</v>
      </c>
      <c r="E228" s="85">
        <v>237717.166666667</v>
      </c>
      <c r="F228" s="220"/>
      <c r="G228" s="220"/>
      <c r="H228" s="220">
        <f>30000</f>
        <v>30000</v>
      </c>
      <c r="I228" s="85">
        <f t="shared" ref="I228:I234" si="66">7000</f>
        <v>7000</v>
      </c>
      <c r="J228" s="509">
        <f t="shared" si="65"/>
        <v>274717.166666667</v>
      </c>
      <c r="K228" s="85"/>
      <c r="L228" s="85">
        <v>40000</v>
      </c>
      <c r="M228" s="85">
        <v>28524.31</v>
      </c>
      <c r="N228" s="85"/>
      <c r="O228" s="85"/>
      <c r="P228" s="85">
        <v>28525.9628</v>
      </c>
      <c r="Q228" s="85">
        <v>19017.3733333333</v>
      </c>
      <c r="R228" s="510">
        <f t="shared" si="63"/>
        <v>116067.646133333</v>
      </c>
      <c r="S228" s="85">
        <v>143311.73096</v>
      </c>
      <c r="T228" s="509">
        <f t="shared" si="64"/>
        <v>158649.520533334</v>
      </c>
    </row>
    <row r="229" customHeight="1" spans="1:20">
      <c r="A229" s="27">
        <v>48</v>
      </c>
      <c r="B229" s="11" t="s">
        <v>376</v>
      </c>
      <c r="C229" s="12" t="s">
        <v>374</v>
      </c>
      <c r="D229" s="15" t="s">
        <v>375</v>
      </c>
      <c r="E229" s="85">
        <v>237717.166666667</v>
      </c>
      <c r="F229" s="220"/>
      <c r="G229" s="220"/>
      <c r="H229" s="220">
        <f>30000</f>
        <v>30000</v>
      </c>
      <c r="I229" s="85">
        <f t="shared" si="66"/>
        <v>7000</v>
      </c>
      <c r="J229" s="509">
        <f t="shared" si="65"/>
        <v>274717.166666667</v>
      </c>
      <c r="K229" s="85"/>
      <c r="L229" s="85">
        <v>40000</v>
      </c>
      <c r="M229" s="85">
        <v>43885.11</v>
      </c>
      <c r="N229" s="85"/>
      <c r="O229" s="85"/>
      <c r="P229" s="85">
        <v>28525.9628</v>
      </c>
      <c r="Q229" s="85">
        <v>19017.3733333333</v>
      </c>
      <c r="R229" s="510">
        <f t="shared" si="63"/>
        <v>131428.446133333</v>
      </c>
      <c r="S229" s="85">
        <v>127950.93096</v>
      </c>
      <c r="T229" s="509">
        <f t="shared" si="64"/>
        <v>143288.720533334</v>
      </c>
    </row>
    <row r="230" customHeight="1" spans="1:20">
      <c r="A230" s="27">
        <v>49</v>
      </c>
      <c r="B230" s="18" t="s">
        <v>377</v>
      </c>
      <c r="C230" s="12" t="s">
        <v>374</v>
      </c>
      <c r="D230" s="15" t="s">
        <v>378</v>
      </c>
      <c r="E230" s="85">
        <v>243700.416666667</v>
      </c>
      <c r="F230" s="220"/>
      <c r="G230" s="220"/>
      <c r="H230" s="220">
        <f>30000</f>
        <v>30000</v>
      </c>
      <c r="I230" s="85">
        <f t="shared" si="66"/>
        <v>7000</v>
      </c>
      <c r="J230" s="509">
        <f t="shared" ref="J230:J237" si="67">E230+F230+G230+H230+I230</f>
        <v>280700.416666667</v>
      </c>
      <c r="K230" s="85"/>
      <c r="L230" s="85">
        <v>33000</v>
      </c>
      <c r="M230" s="85">
        <f>44000</f>
        <v>44000</v>
      </c>
      <c r="N230" s="85"/>
      <c r="O230" s="85"/>
      <c r="P230" s="85">
        <v>29516.789</v>
      </c>
      <c r="Q230" s="85">
        <v>19496.0333333333</v>
      </c>
      <c r="R230" s="510">
        <f t="shared" si="63"/>
        <v>126012.822333333</v>
      </c>
      <c r="S230" s="85">
        <v>139415.85984</v>
      </c>
      <c r="T230" s="509">
        <f t="shared" si="64"/>
        <v>154687.594333334</v>
      </c>
    </row>
    <row r="231" customHeight="1" spans="1:20">
      <c r="A231" s="27">
        <v>50</v>
      </c>
      <c r="B231" s="11" t="s">
        <v>379</v>
      </c>
      <c r="C231" s="12" t="s">
        <v>380</v>
      </c>
      <c r="D231" s="15" t="s">
        <v>381</v>
      </c>
      <c r="E231" s="85">
        <v>225750.583333333</v>
      </c>
      <c r="F231" s="220"/>
      <c r="G231" s="220"/>
      <c r="H231" s="220">
        <f t="shared" ref="H231:H234" si="68">20000</f>
        <v>20000</v>
      </c>
      <c r="I231" s="85">
        <f t="shared" si="66"/>
        <v>7000</v>
      </c>
      <c r="J231" s="509">
        <f t="shared" si="67"/>
        <v>252750.583333333</v>
      </c>
      <c r="K231" s="85"/>
      <c r="L231" s="85">
        <v>80000</v>
      </c>
      <c r="M231" s="85">
        <v>40000</v>
      </c>
      <c r="N231" s="85">
        <v>15000</v>
      </c>
      <c r="O231" s="85"/>
      <c r="P231" s="85">
        <v>25203.5805</v>
      </c>
      <c r="Q231" s="85">
        <v>18060.0466666666</v>
      </c>
      <c r="R231" s="510">
        <f t="shared" si="63"/>
        <v>178263.627166667</v>
      </c>
      <c r="S231" s="85">
        <v>63936.1582933333</v>
      </c>
      <c r="T231" s="509">
        <f t="shared" si="64"/>
        <v>74486.9561666664</v>
      </c>
    </row>
    <row r="232" customHeight="1" spans="1:20">
      <c r="A232" s="27">
        <v>51</v>
      </c>
      <c r="B232" s="11" t="s">
        <v>382</v>
      </c>
      <c r="C232" s="12" t="s">
        <v>380</v>
      </c>
      <c r="D232" s="15" t="s">
        <v>381</v>
      </c>
      <c r="E232" s="85">
        <v>225750.583333333</v>
      </c>
      <c r="F232" s="220"/>
      <c r="G232" s="220"/>
      <c r="H232" s="220">
        <f t="shared" si="68"/>
        <v>20000</v>
      </c>
      <c r="I232" s="85">
        <f t="shared" si="66"/>
        <v>7000</v>
      </c>
      <c r="J232" s="509">
        <f t="shared" si="67"/>
        <v>252750.583333333</v>
      </c>
      <c r="K232" s="85"/>
      <c r="L232" s="85">
        <v>35000</v>
      </c>
      <c r="M232" s="85">
        <v>33000</v>
      </c>
      <c r="N232" s="85">
        <v>20000</v>
      </c>
      <c r="O232" s="85"/>
      <c r="P232" s="85">
        <v>25203.5805</v>
      </c>
      <c r="Q232" s="85">
        <v>18060.0466666666</v>
      </c>
      <c r="R232" s="510">
        <f t="shared" si="63"/>
        <v>131263.627166667</v>
      </c>
      <c r="S232" s="85">
        <v>110936.158293333</v>
      </c>
      <c r="T232" s="509">
        <f t="shared" si="64"/>
        <v>121486.956166666</v>
      </c>
    </row>
    <row r="233" customHeight="1" spans="1:20">
      <c r="A233" s="27">
        <v>52</v>
      </c>
      <c r="B233" s="11" t="s">
        <v>383</v>
      </c>
      <c r="C233" s="12" t="s">
        <v>380</v>
      </c>
      <c r="D233" s="15" t="s">
        <v>381</v>
      </c>
      <c r="E233" s="85">
        <v>225750.583333333</v>
      </c>
      <c r="F233" s="220"/>
      <c r="G233" s="220"/>
      <c r="H233" s="220">
        <f t="shared" si="68"/>
        <v>20000</v>
      </c>
      <c r="I233" s="85">
        <f t="shared" si="66"/>
        <v>7000</v>
      </c>
      <c r="J233" s="509">
        <f t="shared" si="67"/>
        <v>252750.583333333</v>
      </c>
      <c r="K233" s="85"/>
      <c r="L233" s="85">
        <v>50000</v>
      </c>
      <c r="M233" s="85">
        <f>25555.56</f>
        <v>25555.56</v>
      </c>
      <c r="N233" s="85"/>
      <c r="O233" s="85"/>
      <c r="P233" s="85">
        <v>25203.5805</v>
      </c>
      <c r="Q233" s="85">
        <v>18060.0466666666</v>
      </c>
      <c r="R233" s="510">
        <f t="shared" si="63"/>
        <v>118819.187166667</v>
      </c>
      <c r="S233" s="85">
        <v>123380.598293333</v>
      </c>
      <c r="T233" s="509">
        <f t="shared" si="64"/>
        <v>133931.396166666</v>
      </c>
    </row>
    <row r="234" customHeight="1" spans="1:20">
      <c r="A234" s="27">
        <v>53</v>
      </c>
      <c r="B234" s="11" t="s">
        <v>384</v>
      </c>
      <c r="C234" s="12" t="s">
        <v>380</v>
      </c>
      <c r="D234" s="15" t="s">
        <v>381</v>
      </c>
      <c r="E234" s="85">
        <v>225750.583333333</v>
      </c>
      <c r="F234" s="220"/>
      <c r="G234" s="220"/>
      <c r="H234" s="220">
        <f t="shared" si="68"/>
        <v>20000</v>
      </c>
      <c r="I234" s="85">
        <f t="shared" si="66"/>
        <v>7000</v>
      </c>
      <c r="J234" s="509">
        <f t="shared" si="67"/>
        <v>252750.583333333</v>
      </c>
      <c r="K234" s="85"/>
      <c r="L234" s="85">
        <v>35000</v>
      </c>
      <c r="M234" s="85">
        <f>15972.22</f>
        <v>15972.22</v>
      </c>
      <c r="N234" s="85"/>
      <c r="O234" s="85"/>
      <c r="P234" s="85">
        <v>25203.5805</v>
      </c>
      <c r="Q234" s="85">
        <v>18060.0466666666</v>
      </c>
      <c r="R234" s="510">
        <f t="shared" si="63"/>
        <v>94235.8471666666</v>
      </c>
      <c r="S234" s="85">
        <v>147963.938293333</v>
      </c>
      <c r="T234" s="509">
        <f t="shared" si="64"/>
        <v>158514.736166666</v>
      </c>
    </row>
    <row r="235" customHeight="1" spans="1:20">
      <c r="A235" s="27">
        <v>54</v>
      </c>
      <c r="B235" s="11" t="s">
        <v>385</v>
      </c>
      <c r="C235" s="12" t="s">
        <v>380</v>
      </c>
      <c r="D235" s="15" t="s">
        <v>381</v>
      </c>
      <c r="E235" s="85">
        <v>225750.583333333</v>
      </c>
      <c r="F235" s="220"/>
      <c r="G235" s="220"/>
      <c r="H235" s="220">
        <f t="shared" ref="H232:H238" si="69">20000</f>
        <v>20000</v>
      </c>
      <c r="I235" s="85">
        <f t="shared" ref="I234:I239" si="70">7000</f>
        <v>7000</v>
      </c>
      <c r="J235" s="509">
        <f t="shared" si="67"/>
        <v>252750.583333333</v>
      </c>
      <c r="K235" s="85"/>
      <c r="L235" s="85">
        <v>40000</v>
      </c>
      <c r="M235" s="85">
        <v>17999.67</v>
      </c>
      <c r="N235" s="85"/>
      <c r="O235" s="85"/>
      <c r="P235" s="85">
        <v>25203.5805</v>
      </c>
      <c r="Q235" s="85">
        <v>18060.0466666666</v>
      </c>
      <c r="R235" s="510">
        <f t="shared" si="63"/>
        <v>101263.297166667</v>
      </c>
      <c r="S235" s="85">
        <v>140936.488293333</v>
      </c>
      <c r="T235" s="509">
        <f t="shared" si="64"/>
        <v>151487.286166666</v>
      </c>
    </row>
    <row r="236" customHeight="1" spans="1:20">
      <c r="A236" s="27">
        <v>55</v>
      </c>
      <c r="B236" s="11" t="s">
        <v>386</v>
      </c>
      <c r="C236" s="12" t="s">
        <v>380</v>
      </c>
      <c r="D236" s="15" t="s">
        <v>381</v>
      </c>
      <c r="E236" s="85">
        <v>225750.583333333</v>
      </c>
      <c r="F236" s="220"/>
      <c r="G236" s="220"/>
      <c r="H236" s="220">
        <f t="shared" si="69"/>
        <v>20000</v>
      </c>
      <c r="I236" s="85">
        <f t="shared" si="70"/>
        <v>7000</v>
      </c>
      <c r="J236" s="509">
        <f t="shared" si="67"/>
        <v>252750.583333333</v>
      </c>
      <c r="K236" s="85"/>
      <c r="L236" s="85">
        <v>40000</v>
      </c>
      <c r="M236" s="85">
        <v>40000</v>
      </c>
      <c r="N236" s="85">
        <v>10000</v>
      </c>
      <c r="O236" s="85"/>
      <c r="P236" s="85">
        <v>25203.5805</v>
      </c>
      <c r="Q236" s="85">
        <v>18060.0466666666</v>
      </c>
      <c r="R236" s="510">
        <f t="shared" si="63"/>
        <v>133263.627166667</v>
      </c>
      <c r="S236" s="85">
        <v>108936.158293333</v>
      </c>
      <c r="T236" s="509">
        <f t="shared" si="64"/>
        <v>119486.956166666</v>
      </c>
    </row>
    <row r="237" customHeight="1" spans="1:20">
      <c r="A237" s="27">
        <v>56</v>
      </c>
      <c r="B237" s="18" t="s">
        <v>387</v>
      </c>
      <c r="C237" s="12" t="s">
        <v>380</v>
      </c>
      <c r="D237" s="15" t="s">
        <v>388</v>
      </c>
      <c r="E237" s="85">
        <v>231733.833333334</v>
      </c>
      <c r="F237" s="220"/>
      <c r="G237" s="220"/>
      <c r="H237" s="220">
        <f t="shared" si="69"/>
        <v>20000</v>
      </c>
      <c r="I237" s="85">
        <f t="shared" si="70"/>
        <v>7000</v>
      </c>
      <c r="J237" s="509">
        <f t="shared" si="67"/>
        <v>258733.833333334</v>
      </c>
      <c r="K237" s="85"/>
      <c r="L237" s="85">
        <v>35000</v>
      </c>
      <c r="M237" s="85">
        <v>0</v>
      </c>
      <c r="N237" s="85"/>
      <c r="O237" s="85"/>
      <c r="P237" s="85">
        <v>26029.2690000001</v>
      </c>
      <c r="Q237" s="85">
        <v>18538.7066666667</v>
      </c>
      <c r="R237" s="510">
        <f t="shared" si="63"/>
        <v>79567.9756666668</v>
      </c>
      <c r="S237" s="85">
        <v>163936.158293333</v>
      </c>
      <c r="T237" s="509">
        <f t="shared" si="64"/>
        <v>179165.857666667</v>
      </c>
    </row>
    <row r="238" customHeight="1" spans="1:20">
      <c r="A238" s="27">
        <v>57</v>
      </c>
      <c r="B238" s="18" t="s">
        <v>389</v>
      </c>
      <c r="C238" s="12" t="s">
        <v>390</v>
      </c>
      <c r="D238" s="15" t="s">
        <v>391</v>
      </c>
      <c r="E238" s="85">
        <v>149217.75</v>
      </c>
      <c r="F238" s="220"/>
      <c r="G238" s="220"/>
      <c r="H238" s="220">
        <f t="shared" si="69"/>
        <v>20000</v>
      </c>
      <c r="I238" s="85">
        <f t="shared" si="70"/>
        <v>7000</v>
      </c>
      <c r="J238" s="509">
        <f t="shared" ref="J238:J247" si="71">E238+F238+G238+H238+I238</f>
        <v>176217.75</v>
      </c>
      <c r="K238" s="85"/>
      <c r="L238" s="85">
        <v>40000</v>
      </c>
      <c r="M238" s="85">
        <f>0</f>
        <v>0</v>
      </c>
      <c r="N238" s="85"/>
      <c r="O238" s="85"/>
      <c r="P238" s="85">
        <v>14642.0495</v>
      </c>
      <c r="Q238" s="85">
        <v>11937.42</v>
      </c>
      <c r="R238" s="510">
        <f t="shared" si="63"/>
        <v>66579.4695</v>
      </c>
      <c r="S238" s="85">
        <v>106911.015413333</v>
      </c>
      <c r="T238" s="509">
        <f t="shared" si="64"/>
        <v>109638.2805</v>
      </c>
    </row>
    <row r="239" customHeight="1" spans="1:20">
      <c r="A239" s="27">
        <v>58</v>
      </c>
      <c r="B239" s="11" t="s">
        <v>392</v>
      </c>
      <c r="C239" s="12" t="s">
        <v>393</v>
      </c>
      <c r="D239" s="15" t="s">
        <v>391</v>
      </c>
      <c r="E239" s="85">
        <v>149217.75</v>
      </c>
      <c r="F239" s="220"/>
      <c r="G239" s="220"/>
      <c r="H239" s="220">
        <v>20000</v>
      </c>
      <c r="I239" s="85">
        <f t="shared" si="70"/>
        <v>7000</v>
      </c>
      <c r="J239" s="509">
        <f t="shared" si="71"/>
        <v>176217.75</v>
      </c>
      <c r="K239" s="85"/>
      <c r="L239" s="85">
        <v>50000</v>
      </c>
      <c r="M239" s="85">
        <f>44555.39-10000</f>
        <v>34555.39</v>
      </c>
      <c r="N239" s="85">
        <v>10000</v>
      </c>
      <c r="O239" s="85"/>
      <c r="P239" s="85">
        <v>14642.0495</v>
      </c>
      <c r="Q239" s="85">
        <v>11937.42</v>
      </c>
      <c r="R239" s="510">
        <f t="shared" si="63"/>
        <v>121134.8595</v>
      </c>
      <c r="S239" s="85">
        <v>52355.6254133333</v>
      </c>
      <c r="T239" s="509">
        <f t="shared" si="64"/>
        <v>55082.8905</v>
      </c>
    </row>
    <row r="240" customHeight="1" spans="1:20">
      <c r="A240" s="27">
        <v>59</v>
      </c>
      <c r="B240" s="18" t="s">
        <v>394</v>
      </c>
      <c r="C240" s="12" t="s">
        <v>395</v>
      </c>
      <c r="D240" s="15" t="s">
        <v>396</v>
      </c>
      <c r="E240" s="85">
        <v>140634.666666667</v>
      </c>
      <c r="F240" s="220"/>
      <c r="G240" s="220"/>
      <c r="H240" s="220">
        <v>20000</v>
      </c>
      <c r="I240" s="85">
        <v>7000</v>
      </c>
      <c r="J240" s="509">
        <f t="shared" si="71"/>
        <v>167634.666666667</v>
      </c>
      <c r="K240" s="85"/>
      <c r="L240" s="85">
        <v>33000</v>
      </c>
      <c r="M240" s="85"/>
      <c r="N240" s="85"/>
      <c r="O240" s="85"/>
      <c r="P240" s="85">
        <v>13457.584</v>
      </c>
      <c r="Q240" s="85">
        <v>11250.7733333334</v>
      </c>
      <c r="R240" s="510">
        <f t="shared" si="63"/>
        <v>57708.3573333334</v>
      </c>
      <c r="S240" s="85">
        <v>107214.707093333</v>
      </c>
      <c r="T240" s="509">
        <f t="shared" si="64"/>
        <v>109926.309333334</v>
      </c>
    </row>
    <row r="241" customHeight="1" spans="1:20">
      <c r="A241" s="27">
        <v>60</v>
      </c>
      <c r="B241" s="18" t="s">
        <v>397</v>
      </c>
      <c r="C241" s="12" t="s">
        <v>395</v>
      </c>
      <c r="D241" s="15" t="s">
        <v>398</v>
      </c>
      <c r="E241" s="85">
        <v>137773.5</v>
      </c>
      <c r="F241" s="220"/>
      <c r="G241" s="220"/>
      <c r="H241" s="220">
        <f>15000</f>
        <v>15000</v>
      </c>
      <c r="I241" s="85">
        <f>7000</f>
        <v>7000</v>
      </c>
      <c r="J241" s="509">
        <f t="shared" si="71"/>
        <v>159773.5</v>
      </c>
      <c r="K241" s="85"/>
      <c r="L241" s="85">
        <v>40000</v>
      </c>
      <c r="M241" s="85">
        <v>18333.33</v>
      </c>
      <c r="N241" s="85">
        <v>10000</v>
      </c>
      <c r="O241" s="85"/>
      <c r="P241" s="85">
        <v>12312.743</v>
      </c>
      <c r="Q241" s="85">
        <v>11021.88</v>
      </c>
      <c r="R241" s="510">
        <f t="shared" si="63"/>
        <v>91667.953</v>
      </c>
      <c r="S241" s="85">
        <v>65409.4693600003</v>
      </c>
      <c r="T241" s="509">
        <f t="shared" si="64"/>
        <v>68105.547</v>
      </c>
    </row>
    <row r="242" customHeight="1" spans="1:20">
      <c r="A242" s="27">
        <v>61</v>
      </c>
      <c r="B242" s="18" t="s">
        <v>399</v>
      </c>
      <c r="C242" s="12" t="s">
        <v>395</v>
      </c>
      <c r="D242" s="15" t="s">
        <v>400</v>
      </c>
      <c r="E242" s="85">
        <v>134912.666666667</v>
      </c>
      <c r="F242" s="220"/>
      <c r="G242" s="220"/>
      <c r="H242" s="220">
        <f>15000</f>
        <v>15000</v>
      </c>
      <c r="I242" s="85">
        <f>7000</f>
        <v>7000</v>
      </c>
      <c r="J242" s="509">
        <f t="shared" si="71"/>
        <v>156912.666666667</v>
      </c>
      <c r="K242" s="85"/>
      <c r="L242" s="85">
        <v>52000</v>
      </c>
      <c r="M242" s="85"/>
      <c r="N242" s="85">
        <v>30000</v>
      </c>
      <c r="O242" s="85"/>
      <c r="P242" s="85">
        <v>11917.948</v>
      </c>
      <c r="Q242" s="85">
        <v>10793.0133333334</v>
      </c>
      <c r="R242" s="510">
        <f t="shared" si="63"/>
        <v>104710.961333333</v>
      </c>
      <c r="S242" s="85">
        <v>103742.79936</v>
      </c>
      <c r="T242" s="509">
        <f t="shared" si="64"/>
        <v>52201.7053333336</v>
      </c>
    </row>
    <row r="243" customHeight="1" spans="1:20">
      <c r="A243" s="27">
        <v>62</v>
      </c>
      <c r="B243" s="18" t="s">
        <v>401</v>
      </c>
      <c r="C243" s="12" t="s">
        <v>402</v>
      </c>
      <c r="D243" s="15" t="s">
        <v>403</v>
      </c>
      <c r="E243" s="85">
        <v>131512.166666667</v>
      </c>
      <c r="F243" s="118"/>
      <c r="G243" s="4"/>
      <c r="H243" s="118">
        <v>15000</v>
      </c>
      <c r="I243" s="118">
        <v>4000</v>
      </c>
      <c r="J243" s="509">
        <f t="shared" si="71"/>
        <v>150512.166666667</v>
      </c>
      <c r="K243" s="85"/>
      <c r="L243" s="85">
        <v>10000</v>
      </c>
      <c r="M243" s="85"/>
      <c r="N243" s="85"/>
      <c r="O243" s="85"/>
      <c r="P243" s="85">
        <v>10998.679</v>
      </c>
      <c r="Q243" s="85">
        <v>10520.9733333333</v>
      </c>
      <c r="R243" s="510">
        <f t="shared" si="63"/>
        <v>31519.6523333333</v>
      </c>
      <c r="S243" s="85">
        <v>116624.52624</v>
      </c>
      <c r="T243" s="509">
        <f t="shared" si="64"/>
        <v>118992.514333334</v>
      </c>
    </row>
    <row r="244" customHeight="1" spans="1:20">
      <c r="A244" s="27">
        <v>63</v>
      </c>
      <c r="B244" s="18" t="s">
        <v>404</v>
      </c>
      <c r="C244" s="12" t="s">
        <v>402</v>
      </c>
      <c r="D244" s="15" t="s">
        <v>403</v>
      </c>
      <c r="E244" s="85">
        <v>131512.166666667</v>
      </c>
      <c r="F244" s="118"/>
      <c r="G244" s="4"/>
      <c r="H244" s="118">
        <v>15000</v>
      </c>
      <c r="I244" s="118">
        <v>4000</v>
      </c>
      <c r="J244" s="509">
        <f t="shared" si="71"/>
        <v>150512.166666667</v>
      </c>
      <c r="K244" s="85"/>
      <c r="L244" s="85">
        <v>10000</v>
      </c>
      <c r="M244" s="85">
        <v>22916.67</v>
      </c>
      <c r="N244" s="85"/>
      <c r="O244" s="85"/>
      <c r="P244" s="85">
        <v>10998.679</v>
      </c>
      <c r="Q244" s="85">
        <v>10520.9733333333</v>
      </c>
      <c r="R244" s="510">
        <f t="shared" si="63"/>
        <v>54436.3223333333</v>
      </c>
      <c r="S244" s="85">
        <v>93707.8562400003</v>
      </c>
      <c r="T244" s="509">
        <f t="shared" si="64"/>
        <v>96075.8443333337</v>
      </c>
    </row>
    <row r="245" customHeight="1" spans="1:20">
      <c r="A245" s="27">
        <v>64</v>
      </c>
      <c r="B245" s="18" t="s">
        <v>405</v>
      </c>
      <c r="C245" s="12" t="s">
        <v>402</v>
      </c>
      <c r="D245" s="15" t="s">
        <v>403</v>
      </c>
      <c r="E245" s="85">
        <v>131512.166666667</v>
      </c>
      <c r="F245" s="118"/>
      <c r="G245" s="4"/>
      <c r="H245" s="118">
        <v>15000</v>
      </c>
      <c r="I245" s="118">
        <v>4000</v>
      </c>
      <c r="J245" s="509">
        <f t="shared" si="71"/>
        <v>150512.166666667</v>
      </c>
      <c r="K245" s="85"/>
      <c r="L245" s="85">
        <v>10000</v>
      </c>
      <c r="M245" s="85">
        <f>8750</f>
        <v>8750</v>
      </c>
      <c r="N245" s="85"/>
      <c r="O245" s="85"/>
      <c r="P245" s="85">
        <v>10998.679</v>
      </c>
      <c r="Q245" s="85">
        <v>10520.9733333333</v>
      </c>
      <c r="R245" s="510">
        <f t="shared" si="63"/>
        <v>40269.6523333333</v>
      </c>
      <c r="S245" s="85">
        <v>107874.52624</v>
      </c>
      <c r="T245" s="509">
        <f t="shared" si="64"/>
        <v>110242.514333334</v>
      </c>
    </row>
    <row r="246" customHeight="1" spans="1:20">
      <c r="A246" s="27">
        <v>65</v>
      </c>
      <c r="B246" s="18" t="s">
        <v>406</v>
      </c>
      <c r="C246" s="12" t="s">
        <v>407</v>
      </c>
      <c r="D246" s="15" t="s">
        <v>408</v>
      </c>
      <c r="E246" s="85">
        <v>143495.666666667</v>
      </c>
      <c r="F246" s="118"/>
      <c r="G246" s="220"/>
      <c r="H246" s="220">
        <f>15000</f>
        <v>15000</v>
      </c>
      <c r="I246" s="85">
        <v>7000</v>
      </c>
      <c r="J246" s="509">
        <f t="shared" si="71"/>
        <v>165495.666666667</v>
      </c>
      <c r="K246" s="85"/>
      <c r="L246" s="85">
        <v>10000</v>
      </c>
      <c r="M246" s="85"/>
      <c r="N246" s="85">
        <v>10000</v>
      </c>
      <c r="O246" s="85">
        <v>2487.17291666667</v>
      </c>
      <c r="P246" s="85">
        <v>12729.3260625</v>
      </c>
      <c r="Q246" s="85">
        <v>11479.6533333333</v>
      </c>
      <c r="R246" s="510">
        <f t="shared" si="63"/>
        <v>46696.1523125</v>
      </c>
      <c r="S246" s="85">
        <v>115758.85488</v>
      </c>
      <c r="T246" s="509">
        <f t="shared" si="64"/>
        <v>118799.514354167</v>
      </c>
    </row>
    <row r="247" customHeight="1" spans="1:20">
      <c r="A247" s="27">
        <v>66</v>
      </c>
      <c r="B247" s="18" t="s">
        <v>409</v>
      </c>
      <c r="C247" s="12" t="s">
        <v>407</v>
      </c>
      <c r="D247" s="15" t="s">
        <v>408</v>
      </c>
      <c r="E247" s="85">
        <v>143495.666666667</v>
      </c>
      <c r="F247" s="118"/>
      <c r="G247" s="220"/>
      <c r="H247" s="220">
        <f>15000</f>
        <v>15000</v>
      </c>
      <c r="I247" s="85">
        <v>7000</v>
      </c>
      <c r="J247" s="509">
        <f t="shared" si="71"/>
        <v>165495.666666667</v>
      </c>
      <c r="K247" s="85"/>
      <c r="L247" s="85">
        <v>5000</v>
      </c>
      <c r="M247" s="85"/>
      <c r="N247" s="85">
        <v>10000</v>
      </c>
      <c r="O247" s="85"/>
      <c r="P247" s="85">
        <v>13102.402</v>
      </c>
      <c r="Q247" s="85">
        <v>11479.6533333333</v>
      </c>
      <c r="R247" s="510">
        <f t="shared" si="63"/>
        <v>39582.0553333333</v>
      </c>
      <c r="S247" s="85">
        <v>117081.87488</v>
      </c>
      <c r="T247" s="509">
        <f t="shared" si="64"/>
        <v>125913.611333334</v>
      </c>
    </row>
    <row r="248" ht="30.75" customHeight="1" spans="1:20">
      <c r="A248" s="27"/>
      <c r="B248" s="8" t="s">
        <v>120</v>
      </c>
      <c r="C248" s="28" t="s">
        <v>410</v>
      </c>
      <c r="D248" s="29"/>
      <c r="E248" s="93">
        <f>SUM(E182:E247)</f>
        <v>22965501.0833333</v>
      </c>
      <c r="F248" s="93">
        <f t="shared" ref="F248:T248" si="72">SUM(F182:F247)</f>
        <v>0</v>
      </c>
      <c r="G248" s="93">
        <f t="shared" si="72"/>
        <v>0</v>
      </c>
      <c r="H248" s="93">
        <f t="shared" si="72"/>
        <v>3045000</v>
      </c>
      <c r="I248" s="93">
        <f t="shared" si="72"/>
        <v>226000</v>
      </c>
      <c r="J248" s="93">
        <f t="shared" si="72"/>
        <v>26236501.0833333</v>
      </c>
      <c r="K248" s="93">
        <f t="shared" si="72"/>
        <v>0</v>
      </c>
      <c r="L248" s="93">
        <f t="shared" si="72"/>
        <v>1955500</v>
      </c>
      <c r="M248" s="93">
        <f t="shared" si="72"/>
        <v>3147159.37</v>
      </c>
      <c r="N248" s="93">
        <f t="shared" si="72"/>
        <v>851000</v>
      </c>
      <c r="O248" s="93">
        <f t="shared" si="72"/>
        <v>170278.020833333</v>
      </c>
      <c r="P248" s="93">
        <f t="shared" si="72"/>
        <v>3258161.6848125</v>
      </c>
      <c r="Q248" s="93">
        <f t="shared" si="72"/>
        <v>1837240.08666667</v>
      </c>
      <c r="R248" s="93">
        <f t="shared" si="72"/>
        <v>11219339.1623125</v>
      </c>
      <c r="S248" s="93">
        <f t="shared" si="72"/>
        <v>14683696.9234947</v>
      </c>
      <c r="T248" s="93">
        <f t="shared" si="72"/>
        <v>15017161.9210208</v>
      </c>
    </row>
    <row r="249" ht="30" customHeight="1" spans="1:20">
      <c r="A249" s="4"/>
      <c r="B249" s="30" t="s">
        <v>411</v>
      </c>
      <c r="C249" s="31">
        <f>C47+C57+C72+C77+C91+C105+C121+C131+C145+C164+C179+C248</f>
        <v>197</v>
      </c>
      <c r="D249" s="32"/>
      <c r="E249" s="227">
        <f>E248+E179+E164+E156+E145+E131+E121+E105+E91+E77+E72+E57+E47</f>
        <v>101466028.833333</v>
      </c>
      <c r="F249" s="227">
        <f t="shared" ref="F249:U249" si="73">F248+F179+F164+F156+F145+F131+F121+F105+F91+F77+F72+F57+F47</f>
        <v>67298.6666666642</v>
      </c>
      <c r="G249" s="227">
        <f t="shared" si="73"/>
        <v>10080000</v>
      </c>
      <c r="H249" s="227">
        <f t="shared" si="73"/>
        <v>7035000</v>
      </c>
      <c r="I249" s="227">
        <f t="shared" si="73"/>
        <v>3150719.37833333</v>
      </c>
      <c r="J249" s="227">
        <f t="shared" si="73"/>
        <v>121220218.711667</v>
      </c>
      <c r="K249" s="227">
        <f t="shared" si="73"/>
        <v>0</v>
      </c>
      <c r="L249" s="227">
        <f t="shared" si="73"/>
        <v>8086500</v>
      </c>
      <c r="M249" s="227">
        <f t="shared" si="73"/>
        <v>10235600.3833333</v>
      </c>
      <c r="N249" s="227">
        <f t="shared" si="73"/>
        <v>2975000</v>
      </c>
      <c r="O249" s="227">
        <f t="shared" si="73"/>
        <v>677813.76875</v>
      </c>
      <c r="P249" s="227">
        <f t="shared" si="73"/>
        <v>17007533.9161125</v>
      </c>
      <c r="Q249" s="227">
        <f t="shared" si="73"/>
        <v>7849660.54666667</v>
      </c>
      <c r="R249" s="227">
        <f t="shared" si="73"/>
        <v>46832108.6148625</v>
      </c>
      <c r="S249" s="227">
        <f t="shared" si="73"/>
        <v>73541204.9358247</v>
      </c>
      <c r="T249" s="227">
        <f t="shared" si="73"/>
        <v>74388110.0968041</v>
      </c>
    </row>
    <row r="250" ht="26" customHeight="1" spans="2:20">
      <c r="B250" s="33"/>
      <c r="D250" s="34"/>
      <c r="E250" s="34"/>
      <c r="F250" s="34"/>
      <c r="G250" s="228"/>
      <c r="H250" s="228"/>
      <c r="I250" s="228"/>
      <c r="J250" s="228"/>
      <c r="K250" s="228"/>
      <c r="L250" s="228"/>
      <c r="M250" s="228"/>
      <c r="N250" s="228"/>
      <c r="O250" s="228"/>
      <c r="P250" s="229"/>
      <c r="Q250" s="229"/>
      <c r="R250" s="229"/>
      <c r="S250" s="229"/>
      <c r="T250" s="229"/>
    </row>
    <row r="251" ht="29" customHeight="1" spans="2:20">
      <c r="B251" s="33"/>
      <c r="C251" s="34"/>
      <c r="D251" s="34"/>
      <c r="E251" s="34"/>
      <c r="F251" s="34"/>
      <c r="G251" s="228"/>
      <c r="H251" s="228"/>
      <c r="J251" s="228" t="s">
        <v>412</v>
      </c>
      <c r="K251" s="228"/>
      <c r="L251" s="228"/>
      <c r="M251" s="228"/>
      <c r="N251" s="228"/>
      <c r="O251" s="228"/>
      <c r="P251" s="229"/>
      <c r="Q251" s="229"/>
      <c r="R251" s="229"/>
      <c r="S251" s="229"/>
      <c r="T251" s="35"/>
    </row>
    <row r="252" customHeight="1" spans="9:20">
      <c r="I252" s="1088"/>
      <c r="R252" s="35"/>
      <c r="T252" s="335"/>
    </row>
    <row r="253" customHeight="1" spans="20:20">
      <c r="T253" s="35"/>
    </row>
    <row r="254" customHeight="1" spans="10:10">
      <c r="J25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8" max="19" man="1"/>
    <brk id="105" max="19" man="1"/>
    <brk id="157" max="19" man="1"/>
    <brk id="208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1"/>
  <sheetViews>
    <sheetView zoomScale="91" zoomScaleNormal="91" workbookViewId="0">
      <selection activeCell="I41" sqref="I41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0.3727272727273" customWidth="1"/>
    <col min="8" max="8" width="20.1818181818182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7" customHeight="1" spans="2:8">
      <c r="B1" s="1058"/>
      <c r="C1" s="1058"/>
      <c r="D1" s="1058"/>
      <c r="E1" s="1058"/>
      <c r="F1" s="1058"/>
      <c r="G1" s="1058"/>
      <c r="H1" s="1058"/>
    </row>
    <row r="2" ht="23" customHeight="1" spans="1:8">
      <c r="A2" s="1059" t="s">
        <v>0</v>
      </c>
      <c r="B2" s="1059"/>
      <c r="C2" s="1059"/>
      <c r="D2" s="1059"/>
      <c r="E2" s="1059"/>
      <c r="F2" s="1059"/>
      <c r="G2" s="1059"/>
      <c r="H2" s="1059"/>
    </row>
    <row r="3" ht="21" customHeight="1" spans="1:8">
      <c r="A3" s="1059" t="s">
        <v>413</v>
      </c>
      <c r="B3" s="1059"/>
      <c r="C3" s="1059"/>
      <c r="D3" s="1059"/>
      <c r="E3" s="1059"/>
      <c r="F3" s="1059"/>
      <c r="G3" s="1059"/>
      <c r="H3" s="1059"/>
    </row>
    <row r="4" ht="15.6" hidden="1" customHeight="1" spans="1:8">
      <c r="A4" s="1060" t="s">
        <v>414</v>
      </c>
      <c r="B4" s="1060"/>
      <c r="C4" s="1060"/>
      <c r="D4" s="1060"/>
      <c r="E4" s="1060"/>
      <c r="F4" s="1060"/>
      <c r="G4" s="1061"/>
      <c r="H4" s="1061"/>
    </row>
    <row r="5" ht="9.6" hidden="1" customHeight="1" spans="1:8">
      <c r="A5" s="1060" t="s">
        <v>415</v>
      </c>
      <c r="B5" s="1060"/>
      <c r="C5" s="1060"/>
      <c r="D5" s="1060"/>
      <c r="E5" s="1060"/>
      <c r="F5" s="1060"/>
      <c r="G5" s="1061"/>
      <c r="H5" s="1061"/>
    </row>
    <row r="6" ht="29.25" hidden="1" customHeight="1" spans="1:8">
      <c r="A6" s="1060" t="s">
        <v>416</v>
      </c>
      <c r="B6" s="1060"/>
      <c r="C6" s="1060"/>
      <c r="D6" s="1060"/>
      <c r="E6" s="1060"/>
      <c r="F6" s="1060"/>
      <c r="G6" s="1061"/>
      <c r="H6" s="1061"/>
    </row>
    <row r="7" ht="25.15" hidden="1" customHeight="1" spans="1:8">
      <c r="A7" s="1060" t="s">
        <v>417</v>
      </c>
      <c r="B7" s="1060"/>
      <c r="C7" s="1060"/>
      <c r="D7" s="1060"/>
      <c r="E7" s="1060"/>
      <c r="F7" s="1061"/>
      <c r="G7" s="1061"/>
      <c r="H7" s="1061"/>
    </row>
    <row r="8" ht="24.75" hidden="1" customHeight="1" spans="1:8">
      <c r="A8" s="1061"/>
      <c r="B8" s="1061"/>
      <c r="C8" s="1061"/>
      <c r="D8" s="1061"/>
      <c r="E8" s="1061"/>
      <c r="F8" s="1061"/>
      <c r="G8" s="1061"/>
      <c r="H8" s="1061"/>
    </row>
    <row r="9" ht="24" hidden="1" customHeight="1" spans="1:8">
      <c r="A9" s="1062" t="s">
        <v>418</v>
      </c>
      <c r="B9" s="1062"/>
      <c r="C9" s="1062"/>
      <c r="D9" s="1062"/>
      <c r="E9" s="1062"/>
      <c r="F9" s="1062"/>
      <c r="G9" s="1061"/>
      <c r="H9" s="1061"/>
    </row>
    <row r="10" ht="13.15" hidden="1" customHeight="1" spans="1:8">
      <c r="A10" s="1060" t="s">
        <v>419</v>
      </c>
      <c r="B10" s="1060"/>
      <c r="C10" s="1060"/>
      <c r="D10" s="1060"/>
      <c r="E10" s="1060"/>
      <c r="F10" s="1060"/>
      <c r="G10" s="1060"/>
      <c r="H10" s="1060"/>
    </row>
    <row r="11" ht="18" hidden="1" customHeight="1" spans="1:8">
      <c r="A11" s="1063"/>
      <c r="B11" s="1061"/>
      <c r="C11" s="1061"/>
      <c r="D11" s="1061"/>
      <c r="E11" s="1061"/>
      <c r="F11" s="1061"/>
      <c r="G11" s="1061"/>
      <c r="H11" s="1061"/>
    </row>
    <row r="12" ht="18.75" hidden="1" customHeight="1" spans="1:8">
      <c r="A12" s="1063"/>
      <c r="B12" s="1061"/>
      <c r="C12" s="1061"/>
      <c r="D12" s="1061"/>
      <c r="E12" s="1061"/>
      <c r="F12" s="1061"/>
      <c r="G12" s="1061"/>
      <c r="H12" s="1061"/>
    </row>
    <row r="13" ht="19.5" customHeight="1" spans="1:8">
      <c r="A13" s="181" t="s">
        <v>420</v>
      </c>
      <c r="B13" s="181"/>
      <c r="C13" s="181" t="s">
        <v>421</v>
      </c>
      <c r="D13" s="181"/>
      <c r="E13" s="181"/>
      <c r="F13" s="874"/>
      <c r="G13" s="1064"/>
      <c r="H13" s="1061"/>
    </row>
    <row r="14" ht="20.25" customHeight="1" spans="1:8">
      <c r="A14" s="181" t="s">
        <v>422</v>
      </c>
      <c r="B14" s="874"/>
      <c r="C14" s="181" t="s">
        <v>423</v>
      </c>
      <c r="D14" s="181"/>
      <c r="E14" s="181"/>
      <c r="F14" s="181"/>
      <c r="G14" s="46"/>
      <c r="H14" s="1061"/>
    </row>
    <row r="15" ht="21" customHeight="1" spans="1:8">
      <c r="A15" s="181" t="s">
        <v>424</v>
      </c>
      <c r="B15" s="181"/>
      <c r="C15" s="181" t="s">
        <v>425</v>
      </c>
      <c r="D15" s="181"/>
      <c r="E15" s="181"/>
      <c r="F15" s="181"/>
      <c r="G15" s="46"/>
      <c r="H15" s="1061"/>
    </row>
    <row r="16" ht="21" customHeight="1" spans="1:8">
      <c r="A16" s="181" t="s">
        <v>426</v>
      </c>
      <c r="B16" s="181"/>
      <c r="C16" s="181" t="s">
        <v>427</v>
      </c>
      <c r="D16" s="181"/>
      <c r="E16" s="874"/>
      <c r="F16" s="874"/>
      <c r="G16" s="1064"/>
      <c r="H16" s="1061"/>
    </row>
    <row r="17" ht="11" customHeight="1" spans="1:8">
      <c r="A17" s="46"/>
      <c r="B17" s="46"/>
      <c r="C17" s="46"/>
      <c r="D17" s="46"/>
      <c r="E17" s="1064"/>
      <c r="F17" s="1064"/>
      <c r="G17" s="1064"/>
      <c r="H17" s="1061"/>
    </row>
    <row r="18" ht="24" customHeight="1" spans="1:8">
      <c r="A18" s="258" t="s">
        <v>428</v>
      </c>
      <c r="B18" s="258"/>
      <c r="C18" s="1065"/>
      <c r="D18" s="1065"/>
      <c r="E18" s="1065"/>
      <c r="F18" s="1065"/>
      <c r="G18" s="1064"/>
      <c r="H18" s="1061"/>
    </row>
    <row r="19" ht="26" customHeight="1" spans="1:8">
      <c r="A19" s="46" t="s">
        <v>429</v>
      </c>
      <c r="B19" s="46"/>
      <c r="C19" s="1064"/>
      <c r="D19" s="1064"/>
      <c r="E19" s="1064"/>
      <c r="F19" s="1064"/>
      <c r="G19" s="623" t="s">
        <v>430</v>
      </c>
      <c r="H19" s="623" t="s">
        <v>430</v>
      </c>
    </row>
    <row r="20" ht="21" customHeight="1" spans="1:10">
      <c r="A20" s="1066" t="s">
        <v>431</v>
      </c>
      <c r="B20" s="1066"/>
      <c r="C20" s="1066"/>
      <c r="D20" s="1066"/>
      <c r="E20" s="1066"/>
      <c r="F20" s="1066"/>
      <c r="G20" s="1066"/>
      <c r="H20" s="1067">
        <f>'JANUARY 2026'!J249</f>
        <v>121220218.711667</v>
      </c>
      <c r="J20" s="409"/>
    </row>
    <row r="21" ht="9" customHeight="1" spans="1:10">
      <c r="A21" s="1066"/>
      <c r="B21" s="1066"/>
      <c r="C21" s="1066"/>
      <c r="D21" s="1066"/>
      <c r="E21" s="1066"/>
      <c r="F21" s="1066"/>
      <c r="G21" s="1066"/>
      <c r="H21" s="1067"/>
      <c r="J21" s="409"/>
    </row>
    <row r="22" ht="21.75" customHeight="1" spans="1:9">
      <c r="A22" s="106" t="s">
        <v>432</v>
      </c>
      <c r="B22" s="106"/>
      <c r="C22" s="106"/>
      <c r="D22" s="106"/>
      <c r="E22" s="106"/>
      <c r="F22" s="106"/>
      <c r="G22" s="1068"/>
      <c r="H22" s="46"/>
      <c r="I22" s="409"/>
    </row>
    <row r="23" ht="18.75" customHeight="1" spans="1:10">
      <c r="A23" s="1069" t="s">
        <v>433</v>
      </c>
      <c r="B23" s="1069"/>
      <c r="C23" s="1069"/>
      <c r="D23" s="1069"/>
      <c r="E23" s="1069"/>
      <c r="F23" s="1069"/>
      <c r="G23" s="156">
        <f>'JANUARY 2026'!L249</f>
        <v>8086500</v>
      </c>
      <c r="H23" s="46"/>
      <c r="J23" s="409"/>
    </row>
    <row r="24" ht="19.5" customHeight="1" spans="1:8">
      <c r="A24" s="1069" t="s">
        <v>12</v>
      </c>
      <c r="B24" s="1069"/>
      <c r="C24" s="1069"/>
      <c r="D24" s="1069"/>
      <c r="E24" s="1069"/>
      <c r="F24" s="1069"/>
      <c r="G24" s="156">
        <f>'JANUARY 2026'!M249</f>
        <v>10235600.3833333</v>
      </c>
      <c r="H24" s="46"/>
    </row>
    <row r="25" ht="19.5" customHeight="1" spans="1:8">
      <c r="A25" s="1069" t="s">
        <v>434</v>
      </c>
      <c r="B25" s="1069"/>
      <c r="C25" s="1069"/>
      <c r="D25" s="1069"/>
      <c r="E25" s="1069"/>
      <c r="F25" s="1069"/>
      <c r="G25" s="156">
        <f>'JANUARY 2026'!N249</f>
        <v>2975000</v>
      </c>
      <c r="H25" s="46"/>
    </row>
    <row r="26" ht="20.25" customHeight="1" spans="1:8">
      <c r="A26" s="1070" t="s">
        <v>435</v>
      </c>
      <c r="B26" s="1070"/>
      <c r="C26" s="1070"/>
      <c r="D26" s="1070"/>
      <c r="E26" s="1070"/>
      <c r="F26" s="1070"/>
      <c r="G26" s="156">
        <f>'JANUARY 2026'!O249</f>
        <v>677813.76875</v>
      </c>
      <c r="H26" s="46"/>
    </row>
    <row r="27" ht="20.25" customHeight="1" spans="1:8">
      <c r="A27" s="1069" t="s">
        <v>436</v>
      </c>
      <c r="B27" s="1069"/>
      <c r="C27" s="1069"/>
      <c r="D27" s="1069"/>
      <c r="E27" s="1069"/>
      <c r="F27" s="1069"/>
      <c r="G27" s="156">
        <f>'JANUARY 2026'!P249</f>
        <v>17007533.9161125</v>
      </c>
      <c r="H27" s="46"/>
    </row>
    <row r="28" ht="21" customHeight="1" spans="1:8">
      <c r="A28" s="1069" t="s">
        <v>437</v>
      </c>
      <c r="B28" s="1069"/>
      <c r="C28" s="1069"/>
      <c r="D28" s="1069"/>
      <c r="E28" s="1069"/>
      <c r="F28" s="1069"/>
      <c r="G28" s="1071">
        <f>'JANUARY 2026'!Q249</f>
        <v>7849660.54666667</v>
      </c>
      <c r="H28" s="46"/>
    </row>
    <row r="29" ht="28.5" customHeight="1" spans="1:9">
      <c r="A29" s="1069" t="s">
        <v>438</v>
      </c>
      <c r="B29" s="1069"/>
      <c r="C29" s="1069"/>
      <c r="D29" s="1069"/>
      <c r="E29" s="1069"/>
      <c r="F29" s="1069"/>
      <c r="G29" s="156"/>
      <c r="H29" s="1072">
        <f>G23+G24+G25+G27+G26+G28</f>
        <v>46832108.6148625</v>
      </c>
      <c r="I29" s="411"/>
    </row>
    <row r="30" ht="20.25" customHeight="1" spans="1:10">
      <c r="A30" s="1069" t="s">
        <v>439</v>
      </c>
      <c r="B30" s="1069"/>
      <c r="C30" s="1069"/>
      <c r="D30" s="1069"/>
      <c r="E30" s="1069"/>
      <c r="F30" s="1069"/>
      <c r="G30" s="258"/>
      <c r="H30" s="150">
        <f>H20-H29</f>
        <v>74388110.0968041</v>
      </c>
      <c r="I30" s="213"/>
      <c r="J30" s="213"/>
    </row>
    <row r="31" ht="21" customHeight="1" spans="1:8">
      <c r="A31" s="1069" t="s">
        <v>440</v>
      </c>
      <c r="B31" s="1069"/>
      <c r="C31" s="1069"/>
      <c r="D31" s="1069"/>
      <c r="E31" s="1069"/>
      <c r="F31" s="1069"/>
      <c r="G31" s="258"/>
      <c r="H31" s="697">
        <f>'JANUARY 2026'!S249</f>
        <v>73541204.9358247</v>
      </c>
    </row>
    <row r="32" ht="21" customHeight="1" spans="1:8">
      <c r="A32" s="1069" t="s">
        <v>441</v>
      </c>
      <c r="B32" s="1069"/>
      <c r="C32" s="1069"/>
      <c r="D32" s="1069"/>
      <c r="E32" s="1069"/>
      <c r="F32" s="1069"/>
      <c r="G32" s="258"/>
      <c r="H32" s="1073">
        <f>H30-H31</f>
        <v>846905.160979405</v>
      </c>
    </row>
    <row r="33" ht="24" customHeight="1" spans="1:8">
      <c r="A33" s="1066" t="s">
        <v>442</v>
      </c>
      <c r="B33" s="1066"/>
      <c r="C33" s="1066"/>
      <c r="D33" s="1066"/>
      <c r="E33" s="1066"/>
      <c r="F33" s="1066"/>
      <c r="G33" s="1066"/>
      <c r="H33" s="46"/>
    </row>
    <row r="34" ht="21.75" customHeight="1" spans="1:10">
      <c r="A34" s="1069" t="s">
        <v>443</v>
      </c>
      <c r="B34" s="1069"/>
      <c r="C34" s="1069"/>
      <c r="D34" s="1069"/>
      <c r="E34" s="1069"/>
      <c r="F34" s="1069"/>
      <c r="G34" s="1069"/>
      <c r="H34" s="1074">
        <v>485541.67</v>
      </c>
      <c r="I34" s="407"/>
      <c r="J34" s="411"/>
    </row>
    <row r="35" ht="21.75" customHeight="1" spans="1:10">
      <c r="A35" s="1069" t="s">
        <v>444</v>
      </c>
      <c r="B35" s="1069"/>
      <c r="C35" s="1069"/>
      <c r="D35" s="1069"/>
      <c r="E35" s="1069"/>
      <c r="F35" s="1069"/>
      <c r="G35" s="1069"/>
      <c r="H35" s="1074">
        <f>190000-50000</f>
        <v>140000</v>
      </c>
      <c r="I35" s="407"/>
      <c r="J35" s="411"/>
    </row>
    <row r="36" ht="21.75" customHeight="1" spans="1:10">
      <c r="A36" s="1069" t="s">
        <v>445</v>
      </c>
      <c r="B36" s="1069"/>
      <c r="C36" s="1069"/>
      <c r="D36" s="1069"/>
      <c r="E36" s="1069"/>
      <c r="F36" s="1069"/>
      <c r="G36" s="1069"/>
      <c r="H36" s="1074">
        <v>-2102396.75</v>
      </c>
      <c r="I36" s="411"/>
      <c r="J36" s="411"/>
    </row>
    <row r="37" ht="21.75" customHeight="1" spans="1:10">
      <c r="A37" s="1069" t="s">
        <v>446</v>
      </c>
      <c r="B37" s="1069"/>
      <c r="C37" s="1069"/>
      <c r="D37" s="1069"/>
      <c r="E37" s="1069"/>
      <c r="F37" s="1069"/>
      <c r="G37" s="1069"/>
      <c r="H37" s="1074">
        <v>126177.23</v>
      </c>
      <c r="I37" s="411"/>
      <c r="J37" s="411"/>
    </row>
    <row r="38" ht="21.75" customHeight="1" spans="1:10">
      <c r="A38" s="1069" t="s">
        <v>447</v>
      </c>
      <c r="B38" s="1069"/>
      <c r="C38" s="1069"/>
      <c r="D38" s="1069"/>
      <c r="E38" s="1069"/>
      <c r="F38" s="1069"/>
      <c r="G38" s="1069"/>
      <c r="H38" s="1074">
        <f>13714.8</f>
        <v>13714.8</v>
      </c>
      <c r="I38" s="411"/>
      <c r="J38" s="411"/>
    </row>
    <row r="39" ht="21.75" customHeight="1" spans="1:10">
      <c r="A39" s="1069" t="s">
        <v>448</v>
      </c>
      <c r="B39" s="1069"/>
      <c r="C39" s="1069"/>
      <c r="D39" s="1069"/>
      <c r="E39" s="1069"/>
      <c r="F39" s="1069"/>
      <c r="G39" s="1069"/>
      <c r="H39" s="1074">
        <v>-205647.52</v>
      </c>
      <c r="I39" s="411"/>
      <c r="J39" s="411"/>
    </row>
    <row r="40" ht="21.75" customHeight="1" spans="1:10">
      <c r="A40" s="1069" t="s">
        <v>449</v>
      </c>
      <c r="B40" s="1069"/>
      <c r="C40" s="1069"/>
      <c r="D40" s="1069"/>
      <c r="E40" s="1069"/>
      <c r="F40" s="1069"/>
      <c r="G40" s="1069"/>
      <c r="H40" s="1074">
        <f>578828.16</f>
        <v>578828.16</v>
      </c>
      <c r="I40" s="411"/>
      <c r="J40" s="411"/>
    </row>
    <row r="41" ht="21.75" customHeight="1" spans="1:10">
      <c r="A41" s="1069" t="s">
        <v>450</v>
      </c>
      <c r="B41" s="1069"/>
      <c r="C41" s="1069"/>
      <c r="D41" s="1069"/>
      <c r="E41" s="1069"/>
      <c r="F41" s="1069"/>
      <c r="G41" s="1069"/>
      <c r="H41" s="1074">
        <f>52361.12</f>
        <v>52361.12</v>
      </c>
      <c r="I41" s="411"/>
      <c r="J41" s="411"/>
    </row>
    <row r="42" ht="21.75" customHeight="1" spans="1:10">
      <c r="A42" s="1069" t="s">
        <v>451</v>
      </c>
      <c r="B42" s="1069"/>
      <c r="C42" s="1069"/>
      <c r="D42" s="1069"/>
      <c r="E42" s="1069"/>
      <c r="F42" s="1069"/>
      <c r="G42" s="1069"/>
      <c r="H42" s="1074">
        <f>64516.13</f>
        <v>64516.13</v>
      </c>
      <c r="I42" s="411"/>
      <c r="J42" s="411"/>
    </row>
    <row r="43" ht="24" customHeight="1" spans="8:17">
      <c r="H43" s="1075">
        <f>SUM(H34:H42)</f>
        <v>-846905.16</v>
      </c>
      <c r="I43" s="411"/>
      <c r="J43" s="407"/>
      <c r="K43" s="409"/>
      <c r="L43" s="407"/>
      <c r="M43" s="407"/>
      <c r="N43" s="409"/>
      <c r="P43" s="1080"/>
      <c r="Q43" s="409"/>
    </row>
    <row r="44" ht="9" hidden="1" customHeight="1" spans="8:17">
      <c r="H44" s="1076"/>
      <c r="I44" s="411"/>
      <c r="J44" s="407"/>
      <c r="K44" s="409"/>
      <c r="L44" s="407"/>
      <c r="M44" s="407"/>
      <c r="N44" s="409"/>
      <c r="P44" s="1080"/>
      <c r="Q44" s="409"/>
    </row>
    <row r="45" ht="14" customHeight="1" spans="1:17">
      <c r="A45" s="1069"/>
      <c r="B45" s="1069"/>
      <c r="C45" s="1069"/>
      <c r="D45" s="1069"/>
      <c r="E45" s="1069"/>
      <c r="F45" s="1069"/>
      <c r="G45" s="1069"/>
      <c r="H45" s="1076"/>
      <c r="I45" s="411"/>
      <c r="J45" s="407"/>
      <c r="K45" s="409"/>
      <c r="L45" s="407"/>
      <c r="M45" s="407"/>
      <c r="N45" s="409"/>
      <c r="P45" s="1080"/>
      <c r="Q45" s="409"/>
    </row>
    <row r="46" ht="23" customHeight="1" spans="1:11">
      <c r="A46" s="46"/>
      <c r="B46" s="46"/>
      <c r="C46" s="46"/>
      <c r="D46" s="46"/>
      <c r="E46" s="1077" t="s">
        <v>18</v>
      </c>
      <c r="F46" s="68"/>
      <c r="G46" s="68" t="s">
        <v>19</v>
      </c>
      <c r="H46" s="68"/>
      <c r="I46" s="411"/>
      <c r="J46" s="411"/>
      <c r="K46" s="409"/>
    </row>
    <row r="47" ht="18.6" customHeight="1" spans="1:10">
      <c r="A47" s="46"/>
      <c r="B47" s="46"/>
      <c r="C47" s="46"/>
      <c r="D47" s="46"/>
      <c r="E47" s="68" t="s">
        <v>452</v>
      </c>
      <c r="F47" s="114" t="s">
        <v>20</v>
      </c>
      <c r="G47" s="68" t="s">
        <v>452</v>
      </c>
      <c r="H47" s="114" t="s">
        <v>20</v>
      </c>
      <c r="I47" s="411"/>
      <c r="J47" s="411"/>
    </row>
    <row r="48" ht="28.5" customHeight="1" spans="1:10">
      <c r="A48" s="50">
        <v>1</v>
      </c>
      <c r="B48" s="171" t="s">
        <v>453</v>
      </c>
      <c r="C48" s="1069"/>
      <c r="D48" s="1069"/>
      <c r="E48" s="49">
        <v>32</v>
      </c>
      <c r="F48" s="51">
        <f>'JANUARY 2026'!S47</f>
        <v>17180156.9876167</v>
      </c>
      <c r="G48" s="49">
        <f>'JANUARY 2026'!C47</f>
        <v>40</v>
      </c>
      <c r="H48" s="51">
        <f>'JANUARY 2026'!T47</f>
        <v>17467624.5809667</v>
      </c>
      <c r="I48" s="411"/>
      <c r="J48" s="411"/>
    </row>
    <row r="49" ht="21.75" customHeight="1" spans="1:10">
      <c r="A49" s="50">
        <v>2</v>
      </c>
      <c r="B49" s="171" t="s">
        <v>454</v>
      </c>
      <c r="C49" s="1069"/>
      <c r="D49" s="1069"/>
      <c r="E49" s="49">
        <v>3</v>
      </c>
      <c r="F49" s="51">
        <f>'JANUARY 2026'!S57</f>
        <v>2504434.23378666</v>
      </c>
      <c r="G49" s="49">
        <f>'JANUARY 2026'!C57</f>
        <v>7</v>
      </c>
      <c r="H49" s="51">
        <f>'JANUARY 2026'!T57</f>
        <v>2460554.66398333</v>
      </c>
      <c r="I49" s="411"/>
      <c r="J49" s="411"/>
    </row>
    <row r="50" ht="24.75" customHeight="1" spans="1:10">
      <c r="A50" s="50">
        <v>3</v>
      </c>
      <c r="B50" s="1069" t="s">
        <v>455</v>
      </c>
      <c r="C50" s="1069"/>
      <c r="D50" s="1069"/>
      <c r="E50" s="49">
        <v>11</v>
      </c>
      <c r="F50" s="51">
        <f>'JANUARY 2026'!S72</f>
        <v>5732217.96315333</v>
      </c>
      <c r="G50" s="49">
        <f>'JANUARY 2026'!C72</f>
        <v>12</v>
      </c>
      <c r="H50" s="51">
        <f>'JANUARY 2026'!T72</f>
        <v>5818402.44855</v>
      </c>
      <c r="I50" s="411"/>
      <c r="J50" s="411"/>
    </row>
    <row r="51" ht="23.25" customHeight="1" spans="1:10">
      <c r="A51" s="50">
        <v>4</v>
      </c>
      <c r="B51" s="1069" t="s">
        <v>456</v>
      </c>
      <c r="C51" s="1069"/>
      <c r="D51" s="1078"/>
      <c r="E51" s="49">
        <v>2</v>
      </c>
      <c r="F51" s="51">
        <f>'JANUARY 2026'!S77</f>
        <v>976050.115279993</v>
      </c>
      <c r="G51" s="49">
        <f>'JANUARY 2026'!C77</f>
        <v>2</v>
      </c>
      <c r="H51" s="51">
        <f>'JANUARY 2026'!T77</f>
        <v>975030.392433328</v>
      </c>
      <c r="I51" s="411"/>
      <c r="J51" s="411"/>
    </row>
    <row r="52" ht="24" customHeight="1" spans="1:10">
      <c r="A52" s="50">
        <v>5</v>
      </c>
      <c r="B52" s="1069" t="s">
        <v>457</v>
      </c>
      <c r="C52" s="1069"/>
      <c r="D52" s="1078"/>
      <c r="E52" s="49">
        <v>12</v>
      </c>
      <c r="F52" s="51">
        <f>'JANUARY 2026'!S91</f>
        <v>4073037.80312333</v>
      </c>
      <c r="G52" s="49">
        <f>'JANUARY 2026'!C91</f>
        <v>11</v>
      </c>
      <c r="H52" s="51">
        <f>'JANUARY 2026'!T91</f>
        <v>4096220.3629</v>
      </c>
      <c r="I52" s="411"/>
      <c r="J52" s="411"/>
    </row>
    <row r="53" ht="21" customHeight="1" spans="1:10">
      <c r="A53" s="50">
        <v>6</v>
      </c>
      <c r="B53" s="1069" t="s">
        <v>458</v>
      </c>
      <c r="C53" s="1069"/>
      <c r="D53" s="1078"/>
      <c r="E53" s="49">
        <v>6</v>
      </c>
      <c r="F53" s="51">
        <f>'JANUARY 2026'!S105</f>
        <v>4731930.81318332</v>
      </c>
      <c r="G53" s="49">
        <f>'JANUARY 2026'!C105</f>
        <v>11</v>
      </c>
      <c r="H53" s="51">
        <f>'JANUARY 2026'!T105</f>
        <v>4820379.68717499</v>
      </c>
      <c r="I53" s="411"/>
      <c r="J53" s="411"/>
    </row>
    <row r="54" ht="23.25" customHeight="1" spans="1:10">
      <c r="A54" s="50">
        <v>7</v>
      </c>
      <c r="B54" s="1069" t="s">
        <v>459</v>
      </c>
      <c r="C54" s="1069"/>
      <c r="D54" s="1069"/>
      <c r="E54" s="49">
        <v>11</v>
      </c>
      <c r="F54" s="51">
        <f>'JANUARY 2026'!S121</f>
        <v>6781166.10175333</v>
      </c>
      <c r="G54" s="49">
        <f>'JANUARY 2026'!C121</f>
        <v>13</v>
      </c>
      <c r="H54" s="51">
        <f>'JANUARY 2026'!T121</f>
        <v>6975906.06049167</v>
      </c>
      <c r="I54" s="411"/>
      <c r="J54" s="411"/>
    </row>
    <row r="55" ht="25.5" customHeight="1" spans="1:10">
      <c r="A55" s="50">
        <v>8</v>
      </c>
      <c r="B55" s="1069" t="s">
        <v>460</v>
      </c>
      <c r="C55" s="1069"/>
      <c r="D55" s="1069"/>
      <c r="E55" s="49">
        <v>4</v>
      </c>
      <c r="F55" s="51">
        <f>'JANUARY 2026'!S131</f>
        <v>2735722.72325</v>
      </c>
      <c r="G55" s="49">
        <f>'JANUARY 2026'!C131</f>
        <v>7</v>
      </c>
      <c r="H55" s="51">
        <f>'JANUARY 2026'!T131</f>
        <v>2840181.72320416</v>
      </c>
      <c r="I55" s="411"/>
      <c r="J55" s="411"/>
    </row>
    <row r="56" ht="21.75" customHeight="1" spans="1:10">
      <c r="A56" s="50">
        <v>9</v>
      </c>
      <c r="B56" s="1069" t="s">
        <v>461</v>
      </c>
      <c r="C56" s="1069"/>
      <c r="D56" s="1069"/>
      <c r="E56" s="49">
        <v>7</v>
      </c>
      <c r="F56" s="51">
        <f>'JANUARY 2026'!S145</f>
        <v>5419159.49264666</v>
      </c>
      <c r="G56" s="49">
        <f>'JANUARY 2026'!C145</f>
        <v>11</v>
      </c>
      <c r="H56" s="51">
        <f>'JANUARY 2026'!T145</f>
        <v>5383305.13375</v>
      </c>
      <c r="I56" s="411"/>
      <c r="J56" s="411"/>
    </row>
    <row r="57" ht="21.75" customHeight="1" spans="1:10">
      <c r="A57" s="50">
        <v>10</v>
      </c>
      <c r="B57" s="1069" t="s">
        <v>462</v>
      </c>
      <c r="C57" s="1069"/>
      <c r="D57" s="1069"/>
      <c r="E57" s="49">
        <v>2</v>
      </c>
      <c r="F57" s="51">
        <f>'JANUARY 2026'!S156</f>
        <v>2938155.36930666</v>
      </c>
      <c r="G57" s="49">
        <f>'JANUARY 2026'!C156</f>
        <v>8</v>
      </c>
      <c r="H57" s="51">
        <f>'JANUARY 2026'!T156</f>
        <v>2555346.34798333</v>
      </c>
      <c r="I57" s="411"/>
      <c r="J57" s="411"/>
    </row>
    <row r="58" ht="21.75" customHeight="1" spans="1:10">
      <c r="A58" s="50">
        <v>11</v>
      </c>
      <c r="B58" s="1069" t="s">
        <v>463</v>
      </c>
      <c r="C58" s="1069"/>
      <c r="D58" s="1069"/>
      <c r="E58" s="49">
        <v>3</v>
      </c>
      <c r="F58" s="51">
        <f>'JANUARY 2026'!S164</f>
        <v>1436265.70088</v>
      </c>
      <c r="G58" s="49">
        <v>5</v>
      </c>
      <c r="H58" s="51">
        <f>'JANUARY 2026'!T164</f>
        <v>1514087.88513333</v>
      </c>
      <c r="I58" s="411"/>
      <c r="J58" s="411"/>
    </row>
    <row r="59" ht="24.75" customHeight="1" spans="1:10">
      <c r="A59" s="50">
        <v>12</v>
      </c>
      <c r="B59" s="1069" t="s">
        <v>464</v>
      </c>
      <c r="C59" s="1069"/>
      <c r="D59" s="1069"/>
      <c r="E59" s="49">
        <v>10</v>
      </c>
      <c r="F59" s="51">
        <f>'JANUARY 2026'!S179</f>
        <v>4349210.70835</v>
      </c>
      <c r="G59" s="1079" t="str">
        <f>'JANUARY 2026'!C179</f>
        <v>12</v>
      </c>
      <c r="H59" s="51">
        <f>'JANUARY 2026'!T179</f>
        <v>4463908.88921249</v>
      </c>
      <c r="I59" s="411"/>
      <c r="J59" s="411"/>
    </row>
    <row r="60" ht="24.75" customHeight="1" spans="1:10">
      <c r="A60" s="50">
        <v>13</v>
      </c>
      <c r="B60" s="1069" t="s">
        <v>465</v>
      </c>
      <c r="C60" s="1069"/>
      <c r="D60" s="1069"/>
      <c r="E60" s="49">
        <v>61</v>
      </c>
      <c r="F60" s="51">
        <f>'JANUARY 2026'!S248</f>
        <v>14683696.9234947</v>
      </c>
      <c r="G60" s="1079" t="str">
        <f>'JANUARY 2026'!C248</f>
        <v>66</v>
      </c>
      <c r="H60" s="51">
        <f>'JANUARY 2026'!T248</f>
        <v>15017161.9210208</v>
      </c>
      <c r="I60" s="411"/>
      <c r="J60" s="411"/>
    </row>
    <row r="61" ht="24" customHeight="1" spans="1:10">
      <c r="A61" s="46"/>
      <c r="B61" s="46"/>
      <c r="C61" s="46"/>
      <c r="D61" s="46"/>
      <c r="E61" s="68">
        <f>SUM(E48:E60)</f>
        <v>164</v>
      </c>
      <c r="F61" s="56">
        <f>SUM(F48:F60)</f>
        <v>73541204.9358247</v>
      </c>
      <c r="G61" s="68">
        <v>199</v>
      </c>
      <c r="H61" s="56">
        <f>SUM(H48:H60)</f>
        <v>74388110.0968041</v>
      </c>
      <c r="I61" s="411"/>
      <c r="J61" s="411"/>
    </row>
    <row r="62" ht="13" customHeight="1" spans="1:10">
      <c r="A62" s="46"/>
      <c r="B62" s="46"/>
      <c r="C62" s="46"/>
      <c r="D62" s="46"/>
      <c r="E62" s="41"/>
      <c r="F62" s="1067"/>
      <c r="G62" s="41"/>
      <c r="H62" s="1067"/>
      <c r="I62" s="411"/>
      <c r="J62" s="411"/>
    </row>
    <row r="63" ht="71" customHeight="1" spans="1:14">
      <c r="A63" s="1070" t="s">
        <v>466</v>
      </c>
      <c r="B63" s="1070"/>
      <c r="C63" s="1070"/>
      <c r="D63" s="1070"/>
      <c r="E63" s="1070"/>
      <c r="F63" s="1070"/>
      <c r="G63" s="1070"/>
      <c r="H63" s="1070"/>
      <c r="I63" s="46"/>
      <c r="J63" s="156"/>
      <c r="K63" s="156"/>
      <c r="L63" s="46"/>
      <c r="M63" s="46"/>
      <c r="N63" s="46"/>
    </row>
    <row r="64" ht="4.5" customHeight="1" spans="1:14">
      <c r="A64" s="1070"/>
      <c r="B64" s="1070"/>
      <c r="C64" s="1070"/>
      <c r="D64" s="1070"/>
      <c r="E64" s="1070"/>
      <c r="F64" s="1070"/>
      <c r="G64" s="1070"/>
      <c r="H64" s="1070"/>
      <c r="I64" s="46"/>
      <c r="J64" s="46"/>
      <c r="K64" s="46"/>
      <c r="L64" s="46"/>
      <c r="M64" s="46"/>
      <c r="N64" s="46"/>
    </row>
    <row r="65" ht="2.25" hidden="1" customHeight="1" spans="1:14">
      <c r="A65" s="1070"/>
      <c r="B65" s="1070"/>
      <c r="C65" s="1070"/>
      <c r="D65" s="1070"/>
      <c r="E65" s="1070"/>
      <c r="F65" s="1070"/>
      <c r="G65" s="1070"/>
      <c r="H65" s="1070"/>
      <c r="I65" s="46"/>
      <c r="J65" s="46"/>
      <c r="K65" s="46"/>
      <c r="L65" s="46"/>
      <c r="M65" s="46"/>
      <c r="N65" s="46"/>
    </row>
    <row r="66" ht="32" customHeight="1" spans="6:8">
      <c r="F66" s="46"/>
      <c r="G66" s="46"/>
      <c r="H66" s="46"/>
    </row>
    <row r="67" ht="17.25" customHeight="1" spans="1:11">
      <c r="A67" s="1066" t="s">
        <v>282</v>
      </c>
      <c r="B67" s="1066"/>
      <c r="C67" s="1066"/>
      <c r="D67" s="1066"/>
      <c r="E67" s="1066"/>
      <c r="F67" s="46"/>
      <c r="G67" s="46"/>
      <c r="H67" s="46"/>
      <c r="I67" s="411"/>
      <c r="K67" s="407"/>
    </row>
    <row r="68" ht="13" spans="1:11">
      <c r="A68" s="263"/>
      <c r="B68" s="263"/>
      <c r="C68" s="263"/>
      <c r="D68" s="263" t="s">
        <v>467</v>
      </c>
      <c r="E68" s="263"/>
      <c r="F68" s="263"/>
      <c r="G68" s="263"/>
      <c r="H68" s="263"/>
      <c r="I68" s="213"/>
      <c r="K68" s="407"/>
    </row>
    <row r="69" spans="11:11">
      <c r="K69" s="407"/>
    </row>
    <row r="70" spans="11:11">
      <c r="K70" s="407"/>
    </row>
    <row r="73" spans="3:3">
      <c r="C73" t="s">
        <v>468</v>
      </c>
    </row>
    <row r="171" spans="3:3">
      <c r="C171">
        <f>10000</f>
        <v>10000</v>
      </c>
    </row>
  </sheetData>
  <mergeCells count="30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G33"/>
    <mergeCell ref="E46:F46"/>
    <mergeCell ref="G46:H46"/>
    <mergeCell ref="B48:D48"/>
    <mergeCell ref="B50:D50"/>
    <mergeCell ref="B51:D51"/>
    <mergeCell ref="B52:D52"/>
    <mergeCell ref="B53:D53"/>
    <mergeCell ref="B60:D60"/>
    <mergeCell ref="A63:H63"/>
    <mergeCell ref="A67:E6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9"/>
  <sheetViews>
    <sheetView topLeftCell="A4" workbookViewId="0">
      <selection activeCell="C4" sqref="C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7.72727272727273" style="1017" customWidth="1"/>
    <col min="5" max="5" width="14.4545454545455" style="296" customWidth="1"/>
    <col min="6" max="6" width="13.1363636363636" style="296" customWidth="1"/>
    <col min="7" max="7" width="11.1363636363636" style="296" customWidth="1"/>
    <col min="8" max="8" width="14.4272727272727" style="296" customWidth="1"/>
    <col min="9" max="9" width="5.85454545454545" style="296" customWidth="1"/>
    <col min="10" max="10" width="13.9090909090909" style="296" customWidth="1"/>
    <col min="11" max="11" width="14.6363636363636" style="296" customWidth="1"/>
    <col min="12" max="12" width="18.9090909090909" style="296" customWidth="1"/>
    <col min="13" max="13" width="9.57272727272727" style="296" customWidth="1"/>
    <col min="14" max="14" width="15.1363636363636" style="296" customWidth="1"/>
    <col min="15" max="15" width="16.2818181818182" style="808" customWidth="1"/>
    <col min="16" max="16" width="14.7090909090909" style="296" customWidth="1"/>
    <col min="17" max="17" width="12.1818181818182" style="296" customWidth="1"/>
    <col min="18" max="18" width="12.7272727272727" style="296" customWidth="1"/>
    <col min="19" max="19" width="11.3636363636364" style="296" customWidth="1"/>
    <col min="20" max="20" width="12.1818181818182" style="296" customWidth="1"/>
    <col min="21" max="21" width="8.45454545454546" style="296" customWidth="1"/>
    <col min="22" max="22" width="11.9090909090909" style="296" customWidth="1"/>
    <col min="23" max="23" width="11" style="296" customWidth="1"/>
    <col min="24" max="16384" width="9.13636363636364" style="296"/>
  </cols>
  <sheetData>
    <row r="1" hidden="1" spans="1:14">
      <c r="A1" s="458" t="s">
        <v>0</v>
      </c>
      <c r="B1" s="458"/>
      <c r="C1" s="458"/>
      <c r="D1" s="1018"/>
      <c r="E1" s="458"/>
      <c r="F1" s="458"/>
      <c r="G1" s="458"/>
      <c r="H1" s="458"/>
      <c r="I1" s="458"/>
      <c r="J1" s="458"/>
      <c r="K1" s="458"/>
      <c r="L1" s="458"/>
      <c r="M1" s="458"/>
      <c r="N1" s="458"/>
    </row>
    <row r="2" hidden="1" spans="1:14">
      <c r="A2" s="459" t="s">
        <v>469</v>
      </c>
      <c r="B2" s="459"/>
      <c r="C2" s="459"/>
      <c r="D2" s="1019"/>
      <c r="E2" s="459"/>
      <c r="F2" s="459"/>
      <c r="G2" s="459"/>
      <c r="H2" s="459"/>
      <c r="I2" s="459"/>
      <c r="J2" s="459"/>
      <c r="K2" s="459"/>
      <c r="L2" s="459"/>
      <c r="M2" s="459"/>
      <c r="N2" s="459"/>
    </row>
    <row r="3" ht="13.75" hidden="1" spans="1:14">
      <c r="A3" s="460" t="s">
        <v>470</v>
      </c>
      <c r="B3" s="458"/>
      <c r="C3" s="458"/>
      <c r="D3" s="1018"/>
      <c r="E3" s="458"/>
      <c r="F3" s="458"/>
      <c r="G3" s="458"/>
      <c r="H3" s="458"/>
      <c r="I3" s="458"/>
      <c r="J3" s="458"/>
      <c r="K3" s="458"/>
      <c r="L3" s="458"/>
      <c r="M3" s="458"/>
      <c r="N3" s="458"/>
    </row>
    <row r="4" ht="83.25" customHeight="1" spans="1:16">
      <c r="A4" s="461" t="s">
        <v>471</v>
      </c>
      <c r="B4" s="462" t="s">
        <v>472</v>
      </c>
      <c r="C4" s="463" t="s">
        <v>20</v>
      </c>
      <c r="D4" s="1020" t="s">
        <v>473</v>
      </c>
      <c r="E4" s="463" t="s">
        <v>474</v>
      </c>
      <c r="F4" s="463" t="s">
        <v>475</v>
      </c>
      <c r="G4" s="463" t="s">
        <v>476</v>
      </c>
      <c r="H4" s="463" t="s">
        <v>477</v>
      </c>
      <c r="I4" s="463" t="s">
        <v>478</v>
      </c>
      <c r="J4" s="463" t="s">
        <v>479</v>
      </c>
      <c r="K4" s="463" t="s">
        <v>480</v>
      </c>
      <c r="L4" s="463" t="s">
        <v>481</v>
      </c>
      <c r="M4" s="463"/>
      <c r="N4" s="1027" t="s">
        <v>482</v>
      </c>
      <c r="O4" s="463" t="s">
        <v>483</v>
      </c>
      <c r="P4" s="477" t="s">
        <v>484</v>
      </c>
    </row>
    <row r="5" ht="15" spans="1:19">
      <c r="A5" s="464" t="s">
        <v>21</v>
      </c>
      <c r="B5" s="81" t="s">
        <v>22</v>
      </c>
      <c r="C5" s="465"/>
      <c r="D5" s="1021"/>
      <c r="E5" s="467"/>
      <c r="F5" s="467"/>
      <c r="G5" s="467"/>
      <c r="H5" s="467"/>
      <c r="I5" s="467"/>
      <c r="J5" s="467"/>
      <c r="K5" s="467"/>
      <c r="L5" s="467"/>
      <c r="M5" s="474"/>
      <c r="N5" s="1028"/>
      <c r="O5" s="806"/>
      <c r="P5" s="930"/>
      <c r="Q5" s="479"/>
      <c r="R5" s="479"/>
      <c r="S5" s="479"/>
    </row>
    <row r="6" ht="15.5" spans="1:23">
      <c r="A6" s="464">
        <v>1</v>
      </c>
      <c r="B6" s="643" t="s">
        <v>23</v>
      </c>
      <c r="C6" s="1022">
        <v>2246372.08333333</v>
      </c>
      <c r="D6" s="1021">
        <v>12</v>
      </c>
      <c r="E6" s="1023">
        <f t="shared" ref="E6:E36" si="0">C6*D6</f>
        <v>26956465</v>
      </c>
      <c r="F6" s="1023"/>
      <c r="G6" s="1023"/>
      <c r="H6" s="1023">
        <v>0</v>
      </c>
      <c r="I6" s="1023"/>
      <c r="J6" s="1023">
        <f>F6+G6+H6</f>
        <v>0</v>
      </c>
      <c r="K6" s="1023">
        <f>E6-J6</f>
        <v>26956465</v>
      </c>
      <c r="L6" s="1023">
        <f>IF(K6&lt;=800000,0,IF(K6&lt;=3000000,(K6-800000)*15%,IF(K6&lt;=12000000,330000+(K6-3000000)*18%,IF(K6&lt;=25000000,1950000+(K6-12000000)*21%,IF(K6&lt;=50000000,4680000+(K6-25000000)*23%,10430000+(K6-50000000)*25%)))))</f>
        <v>5129986.94999999</v>
      </c>
      <c r="M6" s="474">
        <v>12</v>
      </c>
      <c r="N6" s="1029">
        <f>L6/M6</f>
        <v>427498.912499999</v>
      </c>
      <c r="O6" s="806">
        <v>409970.106666666</v>
      </c>
      <c r="P6" s="806">
        <f>N6-O6</f>
        <v>17528.8058333333</v>
      </c>
      <c r="Q6" s="807"/>
      <c r="R6" s="479"/>
      <c r="S6" s="479"/>
      <c r="U6" s="1031"/>
      <c r="V6" s="1031"/>
      <c r="W6" s="479"/>
    </row>
    <row r="7" ht="15.5" spans="1:22">
      <c r="A7" s="464">
        <v>2</v>
      </c>
      <c r="B7" s="643" t="s">
        <v>26</v>
      </c>
      <c r="C7" s="1022">
        <v>1095306.75</v>
      </c>
      <c r="D7" s="1021">
        <v>12</v>
      </c>
      <c r="E7" s="1023">
        <f t="shared" si="0"/>
        <v>13143681</v>
      </c>
      <c r="F7" s="1023"/>
      <c r="G7" s="1023">
        <v>0</v>
      </c>
      <c r="H7" s="1023">
        <v>869094.48</v>
      </c>
      <c r="I7" s="1023"/>
      <c r="J7" s="1023">
        <f t="shared" ref="J7:J70" si="1">F7+G7+H7</f>
        <v>869094.48</v>
      </c>
      <c r="K7" s="1023">
        <f t="shared" ref="K7:K70" si="2">E7-J7</f>
        <v>12274586.52</v>
      </c>
      <c r="L7" s="1023">
        <f t="shared" ref="L7:L70" si="3">IF(K7&lt;=800000,0,IF(K7&lt;=3000000,(K7-800000)*15%,IF(K7&lt;=12000000,330000+(K7-3000000)*18%,IF(K7&lt;=25000000,1950000+(K7-12000000)*21%,IF(K7&lt;=50000000,4680000+(K7-25000000)*23%,10430000+(K7-50000000)*25%)))))</f>
        <v>2007663.1692</v>
      </c>
      <c r="M7" s="474">
        <v>12</v>
      </c>
      <c r="N7" s="1029">
        <f t="shared" ref="N7:N70" si="4">L7/M7</f>
        <v>167305.2641</v>
      </c>
      <c r="O7" s="806">
        <v>175060.050986667</v>
      </c>
      <c r="P7" s="806">
        <f t="shared" ref="P7:P70" si="5">N7-O7</f>
        <v>-7754.78688666699</v>
      </c>
      <c r="Q7" s="807"/>
      <c r="R7" s="1032"/>
      <c r="S7" s="1032"/>
      <c r="T7" s="1033"/>
      <c r="U7" s="1033"/>
      <c r="V7" s="1032"/>
    </row>
    <row r="8" ht="15.5" spans="1:22">
      <c r="A8" s="464">
        <v>3</v>
      </c>
      <c r="B8" s="639" t="s">
        <v>29</v>
      </c>
      <c r="C8" s="1022">
        <v>1295306.75</v>
      </c>
      <c r="D8" s="1021">
        <v>12</v>
      </c>
      <c r="E8" s="1023">
        <f t="shared" si="0"/>
        <v>15543681</v>
      </c>
      <c r="F8" s="1023"/>
      <c r="G8" s="1023">
        <v>0</v>
      </c>
      <c r="H8" s="1023">
        <v>0</v>
      </c>
      <c r="I8" s="1023"/>
      <c r="J8" s="1023">
        <f t="shared" si="1"/>
        <v>0</v>
      </c>
      <c r="K8" s="1023">
        <f t="shared" si="2"/>
        <v>15543681</v>
      </c>
      <c r="L8" s="1023">
        <f t="shared" si="3"/>
        <v>2694173.01</v>
      </c>
      <c r="M8" s="474">
        <v>12</v>
      </c>
      <c r="N8" s="1029">
        <f t="shared" si="4"/>
        <v>224514.4175</v>
      </c>
      <c r="O8" s="806">
        <v>227365.562666667</v>
      </c>
      <c r="P8" s="806">
        <f t="shared" si="5"/>
        <v>-2851.14516666703</v>
      </c>
      <c r="Q8" s="807"/>
      <c r="R8" s="1032"/>
      <c r="S8" s="1032"/>
      <c r="T8" s="1033"/>
      <c r="U8" s="1033"/>
      <c r="V8" s="1033"/>
    </row>
    <row r="9" ht="15.5" spans="1:22">
      <c r="A9" s="464">
        <v>4</v>
      </c>
      <c r="B9" s="643" t="s">
        <v>31</v>
      </c>
      <c r="C9" s="1022">
        <v>1085306.75</v>
      </c>
      <c r="D9" s="1021">
        <v>12</v>
      </c>
      <c r="E9" s="1023">
        <f t="shared" si="0"/>
        <v>13023681</v>
      </c>
      <c r="F9" s="1023"/>
      <c r="G9" s="1023">
        <v>166400.85</v>
      </c>
      <c r="H9" s="1023">
        <v>869094.48</v>
      </c>
      <c r="I9" s="1023"/>
      <c r="J9" s="1023">
        <f t="shared" si="1"/>
        <v>1035495.33</v>
      </c>
      <c r="K9" s="1023">
        <f t="shared" si="2"/>
        <v>11988185.67</v>
      </c>
      <c r="L9" s="1023">
        <f t="shared" si="3"/>
        <v>1947873.4206</v>
      </c>
      <c r="M9" s="474">
        <v>12</v>
      </c>
      <c r="N9" s="1029">
        <f t="shared" si="4"/>
        <v>162322.78505</v>
      </c>
      <c r="O9" s="806">
        <v>170477.637386667</v>
      </c>
      <c r="P9" s="806">
        <f t="shared" si="5"/>
        <v>-8154.85233666701</v>
      </c>
      <c r="Q9" s="807"/>
      <c r="R9" s="1032"/>
      <c r="S9" s="1032"/>
      <c r="T9" s="1033"/>
      <c r="U9" s="1033"/>
      <c r="V9" s="1033"/>
    </row>
    <row r="10" ht="15.5" spans="1:22">
      <c r="A10" s="464">
        <v>5</v>
      </c>
      <c r="B10" s="643" t="s">
        <v>33</v>
      </c>
      <c r="C10" s="766">
        <v>1045306.75</v>
      </c>
      <c r="D10" s="1021">
        <v>12</v>
      </c>
      <c r="E10" s="1023">
        <f t="shared" si="0"/>
        <v>12543681</v>
      </c>
      <c r="F10" s="1023"/>
      <c r="G10" s="1023">
        <v>166400.85</v>
      </c>
      <c r="H10" s="1023">
        <v>869094.48</v>
      </c>
      <c r="I10" s="1023"/>
      <c r="J10" s="1023">
        <f t="shared" si="1"/>
        <v>1035495.33</v>
      </c>
      <c r="K10" s="1023">
        <f t="shared" si="2"/>
        <v>11508185.67</v>
      </c>
      <c r="L10" s="1023">
        <f t="shared" si="3"/>
        <v>1861473.4206</v>
      </c>
      <c r="M10" s="474">
        <v>12</v>
      </c>
      <c r="N10" s="1029">
        <f t="shared" si="4"/>
        <v>155122.78505</v>
      </c>
      <c r="O10" s="806">
        <v>158706.481226667</v>
      </c>
      <c r="P10" s="806">
        <f t="shared" si="5"/>
        <v>-3583.69617666703</v>
      </c>
      <c r="Q10" s="807"/>
      <c r="R10" s="1032"/>
      <c r="S10" s="1032"/>
      <c r="T10" s="1033"/>
      <c r="U10" s="1033"/>
      <c r="V10" s="1033"/>
    </row>
    <row r="11" ht="15.5" spans="1:22">
      <c r="A11" s="464">
        <v>6</v>
      </c>
      <c r="B11" s="643" t="s">
        <v>36</v>
      </c>
      <c r="C11" s="1022">
        <v>1104477</v>
      </c>
      <c r="D11" s="1021">
        <v>12</v>
      </c>
      <c r="E11" s="1023">
        <f t="shared" si="0"/>
        <v>13253724</v>
      </c>
      <c r="F11" s="1023"/>
      <c r="G11" s="1023">
        <v>137703.15</v>
      </c>
      <c r="H11" s="1023">
        <v>714697.92</v>
      </c>
      <c r="I11" s="1023"/>
      <c r="J11" s="1023">
        <f t="shared" si="1"/>
        <v>852401.07</v>
      </c>
      <c r="K11" s="1023">
        <f t="shared" si="2"/>
        <v>12401322.93</v>
      </c>
      <c r="L11" s="1023">
        <f t="shared" si="3"/>
        <v>2034277.8153</v>
      </c>
      <c r="M11" s="474">
        <v>12</v>
      </c>
      <c r="N11" s="1029">
        <f t="shared" si="4"/>
        <v>169523.151275</v>
      </c>
      <c r="O11" s="806">
        <v>173285.155786667</v>
      </c>
      <c r="P11" s="806">
        <f t="shared" si="5"/>
        <v>-3762.00451166701</v>
      </c>
      <c r="Q11" s="807"/>
      <c r="R11" s="1032"/>
      <c r="S11" s="1032"/>
      <c r="T11" s="1033"/>
      <c r="U11" s="1033"/>
      <c r="V11" s="1033"/>
    </row>
    <row r="12" ht="15.5" spans="1:22">
      <c r="A12" s="464">
        <v>7</v>
      </c>
      <c r="B12" s="643" t="s">
        <v>39</v>
      </c>
      <c r="C12" s="1022">
        <v>780713.916666666</v>
      </c>
      <c r="D12" s="1021">
        <v>12</v>
      </c>
      <c r="E12" s="1023">
        <f t="shared" si="0"/>
        <v>9368566.99999999</v>
      </c>
      <c r="F12" s="1023"/>
      <c r="G12" s="1023">
        <v>0</v>
      </c>
      <c r="H12" s="1023">
        <v>672685.359999999</v>
      </c>
      <c r="I12" s="1023"/>
      <c r="J12" s="1023">
        <f t="shared" si="1"/>
        <v>672685.359999999</v>
      </c>
      <c r="K12" s="1023">
        <f t="shared" si="2"/>
        <v>8695881.63999999</v>
      </c>
      <c r="L12" s="1023">
        <f t="shared" si="3"/>
        <v>1355258.6952</v>
      </c>
      <c r="M12" s="474">
        <v>12</v>
      </c>
      <c r="N12" s="1029">
        <f t="shared" si="4"/>
        <v>112938.2246</v>
      </c>
      <c r="O12" s="806">
        <v>119506.607146667</v>
      </c>
      <c r="P12" s="806">
        <f t="shared" si="5"/>
        <v>-6568.38254666711</v>
      </c>
      <c r="Q12" s="807"/>
      <c r="R12" s="1032"/>
      <c r="S12" s="1032"/>
      <c r="T12" s="1033"/>
      <c r="U12" s="1033"/>
      <c r="V12" s="1033"/>
    </row>
    <row r="13" ht="15.5" spans="1:22">
      <c r="A13" s="464">
        <v>8</v>
      </c>
      <c r="B13" s="639" t="s">
        <v>42</v>
      </c>
      <c r="C13" s="1022">
        <v>954477</v>
      </c>
      <c r="D13" s="1021">
        <v>12</v>
      </c>
      <c r="E13" s="1023">
        <f t="shared" si="0"/>
        <v>11453724</v>
      </c>
      <c r="F13" s="1023"/>
      <c r="G13" s="1023">
        <v>0</v>
      </c>
      <c r="H13" s="1023">
        <v>714697.92</v>
      </c>
      <c r="I13" s="1023"/>
      <c r="J13" s="1023">
        <f t="shared" si="1"/>
        <v>714697.92</v>
      </c>
      <c r="K13" s="1023">
        <f t="shared" si="2"/>
        <v>10739026.08</v>
      </c>
      <c r="L13" s="1023">
        <f t="shared" si="3"/>
        <v>1723024.6944</v>
      </c>
      <c r="M13" s="474">
        <v>12</v>
      </c>
      <c r="N13" s="1029">
        <f t="shared" si="4"/>
        <v>143585.3912</v>
      </c>
      <c r="O13" s="806">
        <v>146625.935786667</v>
      </c>
      <c r="P13" s="806">
        <f t="shared" si="5"/>
        <v>-3040.54458666701</v>
      </c>
      <c r="Q13" s="807"/>
      <c r="R13" s="1032"/>
      <c r="S13" s="1032"/>
      <c r="T13" s="1033"/>
      <c r="U13" s="1033"/>
      <c r="V13" s="1033"/>
    </row>
    <row r="14" ht="15.5" spans="1:19">
      <c r="A14" s="464">
        <v>9</v>
      </c>
      <c r="B14" s="643" t="s">
        <v>44</v>
      </c>
      <c r="C14" s="1022">
        <v>963911.083333334</v>
      </c>
      <c r="D14" s="1021">
        <v>12</v>
      </c>
      <c r="E14" s="1023">
        <f t="shared" si="0"/>
        <v>11566933</v>
      </c>
      <c r="F14" s="1023"/>
      <c r="G14" s="1023">
        <v>107120</v>
      </c>
      <c r="H14" s="1023">
        <v>550954.640000001</v>
      </c>
      <c r="I14" s="1023"/>
      <c r="J14" s="1023">
        <f t="shared" si="1"/>
        <v>658074.640000001</v>
      </c>
      <c r="K14" s="1023">
        <f t="shared" si="2"/>
        <v>10908858.36</v>
      </c>
      <c r="L14" s="1023">
        <f t="shared" si="3"/>
        <v>1753594.5048</v>
      </c>
      <c r="M14" s="474">
        <v>12</v>
      </c>
      <c r="N14" s="1029">
        <f t="shared" si="4"/>
        <v>146132.8754</v>
      </c>
      <c r="O14" s="806">
        <v>152140.976426667</v>
      </c>
      <c r="P14" s="806">
        <f t="shared" si="5"/>
        <v>-6008.10102666702</v>
      </c>
      <c r="Q14" s="807"/>
      <c r="R14" s="479"/>
      <c r="S14" s="479"/>
    </row>
    <row r="15" ht="15.5" spans="1:19">
      <c r="A15" s="464">
        <v>10</v>
      </c>
      <c r="B15" s="643" t="s">
        <v>47</v>
      </c>
      <c r="C15" s="1022">
        <v>852595.5</v>
      </c>
      <c r="D15" s="1021">
        <v>12</v>
      </c>
      <c r="E15" s="1023">
        <f t="shared" si="0"/>
        <v>10231146</v>
      </c>
      <c r="F15" s="1023"/>
      <c r="G15" s="1023">
        <v>0</v>
      </c>
      <c r="H15" s="1024">
        <v>693691.68</v>
      </c>
      <c r="I15" s="1023"/>
      <c r="J15" s="1023">
        <f t="shared" si="1"/>
        <v>693691.68</v>
      </c>
      <c r="K15" s="1023">
        <f t="shared" si="2"/>
        <v>9537454.32</v>
      </c>
      <c r="L15" s="1023">
        <f t="shared" si="3"/>
        <v>1506741.7776</v>
      </c>
      <c r="M15" s="474">
        <v>12</v>
      </c>
      <c r="N15" s="1029">
        <f t="shared" si="4"/>
        <v>125561.8148</v>
      </c>
      <c r="O15" s="806">
        <v>127400.772906667</v>
      </c>
      <c r="P15" s="806">
        <f t="shared" si="5"/>
        <v>-1838.95810666701</v>
      </c>
      <c r="Q15" s="807"/>
      <c r="R15" s="479"/>
      <c r="S15" s="479"/>
    </row>
    <row r="16" ht="15.5" spans="1:19">
      <c r="A16" s="464">
        <v>11</v>
      </c>
      <c r="B16" s="643" t="s">
        <v>50</v>
      </c>
      <c r="C16" s="1022">
        <v>682419.5</v>
      </c>
      <c r="D16" s="1021">
        <v>12</v>
      </c>
      <c r="E16" s="1023">
        <f t="shared" si="0"/>
        <v>8189034</v>
      </c>
      <c r="F16" s="1023"/>
      <c r="G16" s="1023">
        <v>0</v>
      </c>
      <c r="H16" s="1023">
        <v>520722.72</v>
      </c>
      <c r="I16" s="1023"/>
      <c r="J16" s="1023">
        <f t="shared" si="1"/>
        <v>520722.72</v>
      </c>
      <c r="K16" s="1023">
        <f t="shared" si="2"/>
        <v>7668311.28</v>
      </c>
      <c r="L16" s="1023">
        <f t="shared" si="3"/>
        <v>1170296.0304</v>
      </c>
      <c r="M16" s="474">
        <v>12</v>
      </c>
      <c r="N16" s="1029">
        <f t="shared" si="4"/>
        <v>97524.6692</v>
      </c>
      <c r="O16" s="806">
        <v>101376.054186667</v>
      </c>
      <c r="P16" s="806">
        <f t="shared" si="5"/>
        <v>-3851.38498666699</v>
      </c>
      <c r="Q16" s="807"/>
      <c r="R16" s="479"/>
      <c r="S16" s="479"/>
    </row>
    <row r="17" ht="15.5" spans="1:19">
      <c r="A17" s="464">
        <v>12</v>
      </c>
      <c r="B17" s="351" t="s">
        <v>53</v>
      </c>
      <c r="C17" s="1022">
        <v>861351.333333333</v>
      </c>
      <c r="D17" s="1021">
        <v>12</v>
      </c>
      <c r="E17" s="1023">
        <f t="shared" si="0"/>
        <v>10336216</v>
      </c>
      <c r="F17" s="1023"/>
      <c r="G17" s="1023">
        <v>101319.25</v>
      </c>
      <c r="H17" s="1023">
        <v>519697.28</v>
      </c>
      <c r="I17" s="1023"/>
      <c r="J17" s="1023">
        <f t="shared" si="1"/>
        <v>621016.53</v>
      </c>
      <c r="K17" s="1023">
        <f t="shared" si="2"/>
        <v>9715199.47</v>
      </c>
      <c r="L17" s="1023">
        <f t="shared" si="3"/>
        <v>1538735.9046</v>
      </c>
      <c r="M17" s="474">
        <v>12</v>
      </c>
      <c r="N17" s="1029">
        <f t="shared" si="4"/>
        <v>128227.99205</v>
      </c>
      <c r="O17" s="806">
        <v>131567.969786667</v>
      </c>
      <c r="P17" s="806">
        <f t="shared" si="5"/>
        <v>-3339.977736667</v>
      </c>
      <c r="Q17" s="807"/>
      <c r="R17" s="479"/>
      <c r="S17" s="479"/>
    </row>
    <row r="18" ht="15.5" spans="1:19">
      <c r="A18" s="464">
        <v>13</v>
      </c>
      <c r="B18" s="351" t="s">
        <v>56</v>
      </c>
      <c r="C18" s="1022">
        <v>582098.916666667</v>
      </c>
      <c r="D18" s="1021">
        <v>12</v>
      </c>
      <c r="E18" s="1023">
        <f t="shared" si="0"/>
        <v>6985187</v>
      </c>
      <c r="F18" s="1023"/>
      <c r="G18" s="1023">
        <v>96107.725</v>
      </c>
      <c r="H18" s="1023">
        <v>491614.96</v>
      </c>
      <c r="I18" s="1023"/>
      <c r="J18" s="1023">
        <f t="shared" si="1"/>
        <v>587722.685</v>
      </c>
      <c r="K18" s="1023">
        <f t="shared" si="2"/>
        <v>6397464.315</v>
      </c>
      <c r="L18" s="1023">
        <f t="shared" si="3"/>
        <v>941543.5767</v>
      </c>
      <c r="M18" s="474">
        <v>12</v>
      </c>
      <c r="N18" s="1029">
        <f t="shared" si="4"/>
        <v>78461.964725</v>
      </c>
      <c r="O18" s="806">
        <v>78484.2216266667</v>
      </c>
      <c r="P18" s="806">
        <f t="shared" si="5"/>
        <v>-22.2569016667112</v>
      </c>
      <c r="Q18" s="807"/>
      <c r="R18" s="479"/>
      <c r="S18" s="479"/>
    </row>
    <row r="19" ht="15.5" spans="1:19">
      <c r="A19" s="464">
        <v>14</v>
      </c>
      <c r="B19" s="351" t="s">
        <v>59</v>
      </c>
      <c r="C19" s="1022">
        <v>632098.916666667</v>
      </c>
      <c r="D19" s="1021">
        <v>12</v>
      </c>
      <c r="E19" s="1023">
        <f t="shared" si="0"/>
        <v>7585187</v>
      </c>
      <c r="F19" s="1023"/>
      <c r="G19" s="1023">
        <v>0</v>
      </c>
      <c r="H19" s="1023">
        <v>491614.96</v>
      </c>
      <c r="I19" s="1023"/>
      <c r="J19" s="1023">
        <f t="shared" si="1"/>
        <v>491614.96</v>
      </c>
      <c r="K19" s="1023">
        <f t="shared" si="2"/>
        <v>7093572.04</v>
      </c>
      <c r="L19" s="1023">
        <f t="shared" si="3"/>
        <v>1066842.9672</v>
      </c>
      <c r="M19" s="474">
        <v>12</v>
      </c>
      <c r="N19" s="1029">
        <f t="shared" si="4"/>
        <v>88903.5806</v>
      </c>
      <c r="O19" s="806">
        <v>89580.2532266667</v>
      </c>
      <c r="P19" s="806">
        <f t="shared" si="5"/>
        <v>-676.67262666671</v>
      </c>
      <c r="Q19" s="807"/>
      <c r="R19" s="479"/>
      <c r="S19" s="479"/>
    </row>
    <row r="20" ht="15.5" spans="1:19">
      <c r="A20" s="464">
        <v>15</v>
      </c>
      <c r="B20" s="643" t="s">
        <v>61</v>
      </c>
      <c r="C20" s="1022">
        <v>817472.75</v>
      </c>
      <c r="D20" s="1021">
        <v>12</v>
      </c>
      <c r="E20" s="1023">
        <f t="shared" si="0"/>
        <v>9809673</v>
      </c>
      <c r="F20" s="1023"/>
      <c r="G20" s="1023">
        <v>93501.975</v>
      </c>
      <c r="H20" s="1023">
        <v>477573.84</v>
      </c>
      <c r="I20" s="1023"/>
      <c r="J20" s="1023">
        <f t="shared" si="1"/>
        <v>571075.815</v>
      </c>
      <c r="K20" s="1023">
        <f t="shared" si="2"/>
        <v>9238597.185</v>
      </c>
      <c r="L20" s="1023">
        <f t="shared" si="3"/>
        <v>1452947.4933</v>
      </c>
      <c r="M20" s="474">
        <v>12</v>
      </c>
      <c r="N20" s="1029">
        <f t="shared" si="4"/>
        <v>121078.957775</v>
      </c>
      <c r="O20" s="806">
        <v>123693.760986667</v>
      </c>
      <c r="P20" s="806">
        <f t="shared" si="5"/>
        <v>-2614.80321166699</v>
      </c>
      <c r="Q20" s="807"/>
      <c r="R20" s="479"/>
      <c r="S20" s="479"/>
    </row>
    <row r="21" ht="15.5" spans="1:19">
      <c r="A21" s="464">
        <v>16</v>
      </c>
      <c r="B21" s="643" t="s">
        <v>64</v>
      </c>
      <c r="C21" s="1022">
        <v>702846.583333333</v>
      </c>
      <c r="D21" s="1021">
        <v>12</v>
      </c>
      <c r="E21" s="1023">
        <f t="shared" si="0"/>
        <v>8434159</v>
      </c>
      <c r="F21" s="1023"/>
      <c r="G21" s="1023">
        <v>90896.2250000001</v>
      </c>
      <c r="H21" s="1023">
        <v>463532.72</v>
      </c>
      <c r="I21" s="1023"/>
      <c r="J21" s="1023">
        <f t="shared" si="1"/>
        <v>554428.945</v>
      </c>
      <c r="K21" s="1023">
        <f t="shared" si="2"/>
        <v>7879730.055</v>
      </c>
      <c r="L21" s="1023">
        <f t="shared" si="3"/>
        <v>1208351.4099</v>
      </c>
      <c r="M21" s="474">
        <v>12</v>
      </c>
      <c r="N21" s="1029">
        <f t="shared" si="4"/>
        <v>100695.950825</v>
      </c>
      <c r="O21" s="806">
        <v>106199.512106667</v>
      </c>
      <c r="P21" s="806">
        <f t="shared" si="5"/>
        <v>-5503.561281667</v>
      </c>
      <c r="Q21" s="807"/>
      <c r="R21" s="479"/>
      <c r="S21" s="479"/>
    </row>
    <row r="22" ht="15.5" spans="1:19">
      <c r="A22" s="464">
        <v>17</v>
      </c>
      <c r="B22" s="639" t="s">
        <v>67</v>
      </c>
      <c r="C22" s="1022">
        <v>768828.166666667</v>
      </c>
      <c r="D22" s="1021">
        <v>12</v>
      </c>
      <c r="E22" s="1023">
        <f t="shared" si="0"/>
        <v>9225938</v>
      </c>
      <c r="F22" s="1023"/>
      <c r="G22" s="1023">
        <v>0</v>
      </c>
      <c r="H22" s="1023">
        <v>450075.04</v>
      </c>
      <c r="I22" s="1023"/>
      <c r="J22" s="1023">
        <f t="shared" si="1"/>
        <v>450075.04</v>
      </c>
      <c r="K22" s="1023">
        <f t="shared" si="2"/>
        <v>8775862.96</v>
      </c>
      <c r="L22" s="1023">
        <f t="shared" si="3"/>
        <v>1369655.3328</v>
      </c>
      <c r="M22" s="474">
        <v>12</v>
      </c>
      <c r="N22" s="1029">
        <f t="shared" si="4"/>
        <v>114137.9444</v>
      </c>
      <c r="O22" s="806">
        <v>116636.733226667</v>
      </c>
      <c r="P22" s="806">
        <f t="shared" si="5"/>
        <v>-2498.78882666701</v>
      </c>
      <c r="Q22" s="807"/>
      <c r="R22" s="479"/>
      <c r="S22" s="479"/>
    </row>
    <row r="23" ht="15.5" spans="1:19">
      <c r="A23" s="464">
        <v>18</v>
      </c>
      <c r="B23" s="643" t="s">
        <v>70</v>
      </c>
      <c r="C23" s="1022">
        <v>578828.166666667</v>
      </c>
      <c r="D23" s="1021">
        <v>12</v>
      </c>
      <c r="E23" s="1023">
        <f t="shared" si="0"/>
        <v>6945938</v>
      </c>
      <c r="F23" s="1023"/>
      <c r="G23" s="1023">
        <v>88398.8750000001</v>
      </c>
      <c r="H23" s="1023">
        <v>450075.04</v>
      </c>
      <c r="I23" s="1023"/>
      <c r="J23" s="1023">
        <f t="shared" si="1"/>
        <v>538473.915</v>
      </c>
      <c r="K23" s="1023">
        <f t="shared" si="2"/>
        <v>6407464.085</v>
      </c>
      <c r="L23" s="1023">
        <f t="shared" si="3"/>
        <v>943343.5353</v>
      </c>
      <c r="M23" s="474">
        <v>12</v>
      </c>
      <c r="N23" s="1029">
        <f t="shared" si="4"/>
        <v>78611.961275</v>
      </c>
      <c r="O23" s="806">
        <v>80156.7332266666</v>
      </c>
      <c r="P23" s="806">
        <f t="shared" si="5"/>
        <v>-1544.77195166661</v>
      </c>
      <c r="Q23" s="807"/>
      <c r="R23" s="479"/>
      <c r="S23" s="479"/>
    </row>
    <row r="24" ht="15.5" spans="1:19">
      <c r="A24" s="464">
        <v>19</v>
      </c>
      <c r="B24" s="639" t="s">
        <v>72</v>
      </c>
      <c r="C24" s="1022">
        <v>641140.666666666</v>
      </c>
      <c r="D24" s="1021">
        <v>12</v>
      </c>
      <c r="E24" s="1023">
        <f t="shared" si="0"/>
        <v>7693687.99999999</v>
      </c>
      <c r="F24" s="1023"/>
      <c r="G24" s="1023">
        <v>0</v>
      </c>
      <c r="H24" s="1023">
        <v>365895.039999999</v>
      </c>
      <c r="I24" s="1023"/>
      <c r="J24" s="1023">
        <f t="shared" si="1"/>
        <v>365895.039999999</v>
      </c>
      <c r="K24" s="1023">
        <f t="shared" si="2"/>
        <v>7327792.95999999</v>
      </c>
      <c r="L24" s="1023">
        <f t="shared" si="3"/>
        <v>1109002.7328</v>
      </c>
      <c r="M24" s="474">
        <v>12</v>
      </c>
      <c r="N24" s="1029">
        <f t="shared" si="4"/>
        <v>92416.8943999999</v>
      </c>
      <c r="O24" s="806">
        <v>95911.3540266666</v>
      </c>
      <c r="P24" s="806">
        <f t="shared" si="5"/>
        <v>-3494.45962666674</v>
      </c>
      <c r="Q24" s="807"/>
      <c r="R24" s="479"/>
      <c r="S24" s="479"/>
    </row>
    <row r="25" ht="15.5" spans="1:19">
      <c r="A25" s="464">
        <v>20</v>
      </c>
      <c r="B25" s="639" t="s">
        <v>75</v>
      </c>
      <c r="C25" s="1022">
        <v>450135.833333334</v>
      </c>
      <c r="D25" s="1021">
        <v>12</v>
      </c>
      <c r="E25" s="1023">
        <f t="shared" si="0"/>
        <v>5401630.00000001</v>
      </c>
      <c r="F25" s="1023"/>
      <c r="G25" s="1023">
        <v>73851.3500000001</v>
      </c>
      <c r="H25" s="1023">
        <v>374530.400000001</v>
      </c>
      <c r="I25" s="1023"/>
      <c r="J25" s="1023">
        <f t="shared" si="1"/>
        <v>448381.750000001</v>
      </c>
      <c r="K25" s="1023">
        <f t="shared" si="2"/>
        <v>4953248.25000001</v>
      </c>
      <c r="L25" s="1023">
        <f t="shared" si="3"/>
        <v>681584.685000002</v>
      </c>
      <c r="M25" s="474">
        <v>12</v>
      </c>
      <c r="N25" s="1029">
        <f t="shared" si="4"/>
        <v>56798.7237500001</v>
      </c>
      <c r="O25" s="806">
        <v>57511.3540266665</v>
      </c>
      <c r="P25" s="806">
        <f t="shared" si="5"/>
        <v>-712.630276666358</v>
      </c>
      <c r="Q25" s="807"/>
      <c r="R25" s="479"/>
      <c r="S25" s="479"/>
    </row>
    <row r="26" ht="15.5" spans="1:19">
      <c r="A26" s="464">
        <v>21</v>
      </c>
      <c r="B26" s="86" t="s">
        <v>485</v>
      </c>
      <c r="C26" s="1022">
        <v>0</v>
      </c>
      <c r="D26" s="1021">
        <v>12</v>
      </c>
      <c r="E26" s="1023">
        <f t="shared" si="0"/>
        <v>0</v>
      </c>
      <c r="F26" s="1023"/>
      <c r="G26" s="1023">
        <v>0</v>
      </c>
      <c r="H26" s="1023">
        <v>0</v>
      </c>
      <c r="I26" s="1023"/>
      <c r="J26" s="1023">
        <f t="shared" si="1"/>
        <v>0</v>
      </c>
      <c r="K26" s="1023">
        <f t="shared" si="2"/>
        <v>0</v>
      </c>
      <c r="L26" s="1023">
        <f t="shared" si="3"/>
        <v>0</v>
      </c>
      <c r="M26" s="474">
        <v>12</v>
      </c>
      <c r="N26" s="1029">
        <f t="shared" si="4"/>
        <v>0</v>
      </c>
      <c r="O26" s="806"/>
      <c r="P26" s="806">
        <f t="shared" si="5"/>
        <v>0</v>
      </c>
      <c r="Q26" s="807"/>
      <c r="R26" s="479"/>
      <c r="S26" s="479"/>
    </row>
    <row r="27" ht="15.5" spans="1:19">
      <c r="A27" s="464">
        <v>22</v>
      </c>
      <c r="B27" s="351" t="s">
        <v>78</v>
      </c>
      <c r="C27" s="1022">
        <v>499443.999999997</v>
      </c>
      <c r="D27" s="1021">
        <v>12</v>
      </c>
      <c r="E27" s="1023">
        <f t="shared" si="0"/>
        <v>5993327.99999997</v>
      </c>
      <c r="F27" s="1023"/>
      <c r="G27" s="1023">
        <v>70673.35</v>
      </c>
      <c r="H27" s="1023">
        <v>357259.52</v>
      </c>
      <c r="I27" s="1023"/>
      <c r="J27" s="1023">
        <f t="shared" si="1"/>
        <v>427932.87</v>
      </c>
      <c r="K27" s="1023">
        <f t="shared" si="2"/>
        <v>5565395.12999997</v>
      </c>
      <c r="L27" s="1023">
        <f t="shared" si="3"/>
        <v>791771.123399995</v>
      </c>
      <c r="M27" s="474">
        <v>12</v>
      </c>
      <c r="N27" s="1029">
        <f t="shared" si="4"/>
        <v>65980.9269499995</v>
      </c>
      <c r="O27" s="806">
        <v>69102.1892266661</v>
      </c>
      <c r="P27" s="806">
        <f t="shared" si="5"/>
        <v>-3121.26227666656</v>
      </c>
      <c r="Q27" s="807"/>
      <c r="R27" s="479"/>
      <c r="S27" s="479"/>
    </row>
    <row r="28" ht="15.5" spans="1:19">
      <c r="A28" s="464">
        <v>23</v>
      </c>
      <c r="B28" s="643" t="s">
        <v>81</v>
      </c>
      <c r="C28" s="1022">
        <v>491140.666666666</v>
      </c>
      <c r="D28" s="1021">
        <v>12</v>
      </c>
      <c r="E28" s="1023">
        <f t="shared" si="0"/>
        <v>5893687.99999999</v>
      </c>
      <c r="F28" s="1023"/>
      <c r="G28" s="1023">
        <v>72262.3749999999</v>
      </c>
      <c r="H28" s="1023">
        <v>365895.039999999</v>
      </c>
      <c r="I28" s="1023"/>
      <c r="J28" s="1023">
        <f t="shared" si="1"/>
        <v>438157.414999999</v>
      </c>
      <c r="K28" s="1023">
        <f t="shared" si="2"/>
        <v>5455530.58499999</v>
      </c>
      <c r="L28" s="1023">
        <f t="shared" si="3"/>
        <v>771995.505299998</v>
      </c>
      <c r="M28" s="474">
        <v>12</v>
      </c>
      <c r="N28" s="1029">
        <f t="shared" si="4"/>
        <v>64332.9587749999</v>
      </c>
      <c r="O28" s="806">
        <v>56180.8452266666</v>
      </c>
      <c r="P28" s="806">
        <f t="shared" si="5"/>
        <v>8152.11354833325</v>
      </c>
      <c r="Q28" s="807"/>
      <c r="R28" s="479"/>
      <c r="S28" s="479"/>
    </row>
    <row r="29" ht="15.5" spans="1:19">
      <c r="A29" s="464">
        <v>24</v>
      </c>
      <c r="B29" s="351" t="s">
        <v>83</v>
      </c>
      <c r="C29" s="1022">
        <v>415320.666666667</v>
      </c>
      <c r="D29" s="1021">
        <v>12</v>
      </c>
      <c r="E29" s="1023">
        <f t="shared" si="0"/>
        <v>4983848</v>
      </c>
      <c r="F29" s="1023"/>
      <c r="G29" s="1023">
        <v>0</v>
      </c>
      <c r="H29" s="1023">
        <v>341107.84</v>
      </c>
      <c r="I29" s="1023"/>
      <c r="J29" s="1023">
        <f t="shared" si="1"/>
        <v>341107.84</v>
      </c>
      <c r="K29" s="1023">
        <f t="shared" si="2"/>
        <v>4642740.16</v>
      </c>
      <c r="L29" s="1023">
        <f t="shared" si="3"/>
        <v>625693.2288</v>
      </c>
      <c r="M29" s="474">
        <v>12</v>
      </c>
      <c r="N29" s="1029">
        <f t="shared" si="4"/>
        <v>52141.1024</v>
      </c>
      <c r="O29" s="806">
        <v>51483.6023466665</v>
      </c>
      <c r="P29" s="806">
        <f t="shared" si="5"/>
        <v>657.500053333504</v>
      </c>
      <c r="Q29" s="807"/>
      <c r="R29" s="479"/>
      <c r="S29" s="479"/>
    </row>
    <row r="30" ht="15.5" spans="1:19">
      <c r="A30" s="464">
        <v>25</v>
      </c>
      <c r="B30" s="351" t="s">
        <v>86</v>
      </c>
      <c r="C30" s="1022">
        <v>407016.166666666</v>
      </c>
      <c r="D30" s="1021">
        <v>12</v>
      </c>
      <c r="E30" s="1023">
        <f t="shared" si="0"/>
        <v>4884193.99999999</v>
      </c>
      <c r="F30" s="1023"/>
      <c r="G30" s="1023">
        <v>0</v>
      </c>
      <c r="H30" s="1023">
        <v>333135.519999999</v>
      </c>
      <c r="I30" s="1023"/>
      <c r="J30" s="1023">
        <f t="shared" si="1"/>
        <v>333135.519999999</v>
      </c>
      <c r="K30" s="1023">
        <f t="shared" si="2"/>
        <v>4551058.47999999</v>
      </c>
      <c r="L30" s="1023">
        <f t="shared" si="3"/>
        <v>609190.526399998</v>
      </c>
      <c r="M30" s="474">
        <v>12</v>
      </c>
      <c r="N30" s="1029">
        <f t="shared" si="4"/>
        <v>50765.8771999999</v>
      </c>
      <c r="O30" s="806">
        <v>50016.6954666667</v>
      </c>
      <c r="P30" s="806">
        <f t="shared" si="5"/>
        <v>749.181733333171</v>
      </c>
      <c r="Q30" s="807"/>
      <c r="R30" s="479"/>
      <c r="S30" s="479"/>
    </row>
    <row r="31" ht="15.5" spans="1:19">
      <c r="A31" s="464">
        <v>26</v>
      </c>
      <c r="B31" s="351" t="s">
        <v>89</v>
      </c>
      <c r="C31" s="1022">
        <v>432145.333333333</v>
      </c>
      <c r="D31" s="1021">
        <v>12</v>
      </c>
      <c r="E31" s="1023">
        <f t="shared" si="0"/>
        <v>5185744</v>
      </c>
      <c r="F31" s="1023"/>
      <c r="G31" s="1023">
        <v>70673.35</v>
      </c>
      <c r="H31" s="1024">
        <v>357259.52</v>
      </c>
      <c r="I31" s="1023"/>
      <c r="J31" s="1023">
        <f t="shared" si="1"/>
        <v>427932.87</v>
      </c>
      <c r="K31" s="1023">
        <f t="shared" si="2"/>
        <v>4757811.13</v>
      </c>
      <c r="L31" s="1023">
        <f t="shared" si="3"/>
        <v>646406.0034</v>
      </c>
      <c r="M31" s="474">
        <v>12</v>
      </c>
      <c r="N31" s="1029">
        <f t="shared" si="4"/>
        <v>53867.16695</v>
      </c>
      <c r="O31" s="806">
        <v>56180.8452266666</v>
      </c>
      <c r="P31" s="806">
        <f t="shared" si="5"/>
        <v>-2313.67827666659</v>
      </c>
      <c r="Q31" s="807"/>
      <c r="R31" s="479"/>
      <c r="S31" s="479"/>
    </row>
    <row r="32" ht="15.5" spans="1:19">
      <c r="A32" s="464">
        <v>27</v>
      </c>
      <c r="B32" s="351" t="s">
        <v>91</v>
      </c>
      <c r="C32" s="1022">
        <v>432145.333333333</v>
      </c>
      <c r="D32" s="1021">
        <v>12</v>
      </c>
      <c r="E32" s="1023">
        <f t="shared" si="0"/>
        <v>5185744</v>
      </c>
      <c r="F32" s="1023"/>
      <c r="G32" s="1023">
        <v>70673.35</v>
      </c>
      <c r="H32" s="1024">
        <v>357259.52</v>
      </c>
      <c r="I32" s="1023"/>
      <c r="J32" s="1023">
        <f t="shared" si="1"/>
        <v>427932.87</v>
      </c>
      <c r="K32" s="1023">
        <f t="shared" si="2"/>
        <v>4757811.13</v>
      </c>
      <c r="L32" s="1023">
        <f t="shared" si="3"/>
        <v>646406.0034</v>
      </c>
      <c r="M32" s="474">
        <v>12</v>
      </c>
      <c r="N32" s="1029">
        <f t="shared" si="4"/>
        <v>53867.16695</v>
      </c>
      <c r="O32" s="806">
        <v>56180.8452266666</v>
      </c>
      <c r="P32" s="806">
        <f t="shared" si="5"/>
        <v>-2313.67827666659</v>
      </c>
      <c r="Q32" s="807"/>
      <c r="R32" s="479"/>
      <c r="S32" s="479"/>
    </row>
    <row r="33" ht="15.5" spans="1:19">
      <c r="A33" s="464">
        <v>28</v>
      </c>
      <c r="B33" s="351" t="s">
        <v>93</v>
      </c>
      <c r="C33" s="1023">
        <v>407016.166666666</v>
      </c>
      <c r="D33" s="1021">
        <v>12</v>
      </c>
      <c r="E33" s="1023">
        <f t="shared" si="0"/>
        <v>4884193.99999999</v>
      </c>
      <c r="F33" s="1023"/>
      <c r="G33" s="1023">
        <v>0</v>
      </c>
      <c r="H33" s="1024">
        <v>333135.519999999</v>
      </c>
      <c r="I33" s="1023"/>
      <c r="J33" s="1023">
        <f t="shared" si="1"/>
        <v>333135.519999999</v>
      </c>
      <c r="K33" s="1023">
        <f t="shared" si="2"/>
        <v>4551058.47999999</v>
      </c>
      <c r="L33" s="1023">
        <f t="shared" si="3"/>
        <v>609190.526399998</v>
      </c>
      <c r="M33" s="474">
        <v>12</v>
      </c>
      <c r="N33" s="1029">
        <f t="shared" si="4"/>
        <v>50765.8771999999</v>
      </c>
      <c r="O33" s="806">
        <v>49761.5812266667</v>
      </c>
      <c r="P33" s="806">
        <f t="shared" si="5"/>
        <v>1004.29597333317</v>
      </c>
      <c r="Q33" s="807"/>
      <c r="R33" s="479"/>
      <c r="S33" s="479"/>
    </row>
    <row r="34" ht="15.5" spans="1:19">
      <c r="A34" s="464">
        <v>29</v>
      </c>
      <c r="B34" s="351" t="s">
        <v>95</v>
      </c>
      <c r="C34" s="1023">
        <v>432145.333333333</v>
      </c>
      <c r="D34" s="1021">
        <v>12</v>
      </c>
      <c r="E34" s="1023">
        <f t="shared" si="0"/>
        <v>5185744</v>
      </c>
      <c r="F34" s="1023"/>
      <c r="G34" s="1023">
        <v>0</v>
      </c>
      <c r="H34" s="1024">
        <v>357259.52</v>
      </c>
      <c r="I34" s="1023"/>
      <c r="J34" s="1023">
        <f t="shared" si="1"/>
        <v>357259.52</v>
      </c>
      <c r="K34" s="1023">
        <f t="shared" si="2"/>
        <v>4828484.48</v>
      </c>
      <c r="L34" s="1023">
        <f t="shared" si="3"/>
        <v>659127.2064</v>
      </c>
      <c r="M34" s="474">
        <v>12</v>
      </c>
      <c r="N34" s="1029">
        <f t="shared" si="4"/>
        <v>54927.2672</v>
      </c>
      <c r="O34" s="806">
        <v>56180.8452266666</v>
      </c>
      <c r="P34" s="806">
        <f t="shared" si="5"/>
        <v>-1253.5780266666</v>
      </c>
      <c r="Q34" s="807"/>
      <c r="R34" s="479"/>
      <c r="S34" s="479"/>
    </row>
    <row r="35" ht="15.5" spans="1:19">
      <c r="A35" s="464">
        <v>30</v>
      </c>
      <c r="B35" s="351" t="s">
        <v>97</v>
      </c>
      <c r="C35" s="1023">
        <v>398711.666666667</v>
      </c>
      <c r="D35" s="1021">
        <v>12</v>
      </c>
      <c r="E35" s="1023">
        <f t="shared" si="0"/>
        <v>4784540</v>
      </c>
      <c r="F35" s="1023"/>
      <c r="G35" s="1023">
        <v>65320.0250000001</v>
      </c>
      <c r="H35" s="1024">
        <v>325163.2</v>
      </c>
      <c r="I35" s="1023"/>
      <c r="J35" s="1023">
        <f t="shared" si="1"/>
        <v>390483.225</v>
      </c>
      <c r="K35" s="1023">
        <f t="shared" si="2"/>
        <v>4394056.775</v>
      </c>
      <c r="L35" s="1023">
        <f t="shared" si="3"/>
        <v>580930.2195</v>
      </c>
      <c r="M35" s="474">
        <v>12</v>
      </c>
      <c r="N35" s="1029">
        <f t="shared" si="4"/>
        <v>48410.851625</v>
      </c>
      <c r="O35" s="1023">
        <v>48549.7738666667</v>
      </c>
      <c r="P35" s="806">
        <f t="shared" si="5"/>
        <v>-138.922241666689</v>
      </c>
      <c r="Q35" s="807"/>
      <c r="R35" s="479"/>
      <c r="S35" s="479"/>
    </row>
    <row r="36" ht="15.5" spans="1:19">
      <c r="A36" s="464">
        <v>31</v>
      </c>
      <c r="B36" s="351" t="s">
        <v>100</v>
      </c>
      <c r="C36" s="1023">
        <v>398711.666666667</v>
      </c>
      <c r="D36" s="1021">
        <v>12</v>
      </c>
      <c r="E36" s="1023">
        <f t="shared" si="0"/>
        <v>4784540</v>
      </c>
      <c r="F36" s="1023"/>
      <c r="G36" s="1023">
        <v>65320.0250000001</v>
      </c>
      <c r="H36" s="1024">
        <v>325163.2</v>
      </c>
      <c r="I36" s="1023"/>
      <c r="J36" s="1023">
        <f t="shared" si="1"/>
        <v>390483.225</v>
      </c>
      <c r="K36" s="1023">
        <f t="shared" si="2"/>
        <v>4394056.775</v>
      </c>
      <c r="L36" s="1023">
        <f t="shared" si="3"/>
        <v>580930.2195</v>
      </c>
      <c r="M36" s="474">
        <v>12</v>
      </c>
      <c r="N36" s="1029">
        <f t="shared" si="4"/>
        <v>48410.851625</v>
      </c>
      <c r="O36" s="806">
        <v>48549.9505066667</v>
      </c>
      <c r="P36" s="806">
        <f t="shared" si="5"/>
        <v>-139.098881666687</v>
      </c>
      <c r="Q36" s="807"/>
      <c r="R36" s="479"/>
      <c r="S36" s="479"/>
    </row>
    <row r="37" ht="15.5" spans="1:19">
      <c r="A37" s="464">
        <v>32</v>
      </c>
      <c r="B37" s="351" t="s">
        <v>101</v>
      </c>
      <c r="C37" s="1023">
        <v>398711.666666667</v>
      </c>
      <c r="D37" s="1021">
        <v>12</v>
      </c>
      <c r="E37" s="1023">
        <f t="shared" ref="E37:E100" si="6">C37*D37</f>
        <v>4784540</v>
      </c>
      <c r="F37" s="1023"/>
      <c r="G37" s="1023">
        <v>0</v>
      </c>
      <c r="H37" s="1024">
        <v>325163.2</v>
      </c>
      <c r="I37" s="1023"/>
      <c r="J37" s="1023">
        <f t="shared" si="1"/>
        <v>325163.2</v>
      </c>
      <c r="K37" s="1023">
        <f t="shared" si="2"/>
        <v>4459376.8</v>
      </c>
      <c r="L37" s="1023">
        <f t="shared" si="3"/>
        <v>592687.824000001</v>
      </c>
      <c r="M37" s="474">
        <v>12</v>
      </c>
      <c r="N37" s="1029">
        <f t="shared" si="4"/>
        <v>49390.6520000001</v>
      </c>
      <c r="O37" s="806">
        <v>48550.1271466667</v>
      </c>
      <c r="P37" s="806">
        <f t="shared" si="5"/>
        <v>840.524853333351</v>
      </c>
      <c r="Q37" s="807"/>
      <c r="R37" s="479"/>
      <c r="S37" s="479"/>
    </row>
    <row r="38" ht="15.5" spans="1:19">
      <c r="A38" s="464">
        <v>33</v>
      </c>
      <c r="B38" s="351" t="s">
        <v>102</v>
      </c>
      <c r="C38" s="1023">
        <v>398711.666666667</v>
      </c>
      <c r="D38" s="1021">
        <v>12</v>
      </c>
      <c r="E38" s="1023">
        <f t="shared" si="6"/>
        <v>4784540</v>
      </c>
      <c r="F38" s="1023"/>
      <c r="G38" s="1023">
        <v>65320.0250000001</v>
      </c>
      <c r="H38" s="1024">
        <v>325163.2</v>
      </c>
      <c r="I38" s="1023"/>
      <c r="J38" s="1023">
        <f t="shared" si="1"/>
        <v>390483.225</v>
      </c>
      <c r="K38" s="1023">
        <f t="shared" si="2"/>
        <v>4394056.775</v>
      </c>
      <c r="L38" s="1023">
        <f t="shared" si="3"/>
        <v>580930.219500001</v>
      </c>
      <c r="M38" s="474">
        <v>12</v>
      </c>
      <c r="N38" s="1029">
        <f t="shared" si="4"/>
        <v>48410.8516250001</v>
      </c>
      <c r="O38" s="806">
        <v>48550.1271466667</v>
      </c>
      <c r="P38" s="806">
        <f t="shared" si="5"/>
        <v>-139.275521666641</v>
      </c>
      <c r="Q38" s="807"/>
      <c r="R38" s="479"/>
      <c r="S38" s="479"/>
    </row>
    <row r="39" ht="15.5" spans="1:19">
      <c r="A39" s="464">
        <v>34</v>
      </c>
      <c r="B39" s="351" t="s">
        <v>103</v>
      </c>
      <c r="C39" s="1023">
        <v>358920.666666667</v>
      </c>
      <c r="D39" s="1021">
        <v>12</v>
      </c>
      <c r="E39" s="1023">
        <f t="shared" si="6"/>
        <v>4307048</v>
      </c>
      <c r="F39" s="1023"/>
      <c r="G39" s="1023">
        <v>60164.8250000001</v>
      </c>
      <c r="H39" s="1024">
        <v>296563.84</v>
      </c>
      <c r="I39" s="1023"/>
      <c r="J39" s="1023">
        <f t="shared" si="1"/>
        <v>356728.665</v>
      </c>
      <c r="K39" s="1023">
        <f t="shared" si="2"/>
        <v>3950319.335</v>
      </c>
      <c r="L39" s="1023">
        <f t="shared" si="3"/>
        <v>501057.480300001</v>
      </c>
      <c r="M39" s="474">
        <v>12</v>
      </c>
      <c r="N39" s="1029">
        <f t="shared" si="4"/>
        <v>41754.7900250001</v>
      </c>
      <c r="O39" s="806">
        <v>42229.9921866667</v>
      </c>
      <c r="P39" s="806">
        <f t="shared" si="5"/>
        <v>-475.202161666646</v>
      </c>
      <c r="Q39" s="807"/>
      <c r="R39" s="479"/>
      <c r="S39" s="479"/>
    </row>
    <row r="40" ht="31" spans="1:19">
      <c r="A40" s="464">
        <v>35</v>
      </c>
      <c r="B40" s="351" t="s">
        <v>106</v>
      </c>
      <c r="C40" s="1023">
        <v>351910.75</v>
      </c>
      <c r="D40" s="1021">
        <v>12</v>
      </c>
      <c r="E40" s="1023">
        <f t="shared" si="6"/>
        <v>4222929</v>
      </c>
      <c r="F40" s="1023"/>
      <c r="G40" s="1023">
        <v>58909.3250000001</v>
      </c>
      <c r="H40" s="1024">
        <v>289834.32</v>
      </c>
      <c r="I40" s="1023"/>
      <c r="J40" s="1023">
        <f t="shared" si="1"/>
        <v>348743.645</v>
      </c>
      <c r="K40" s="1023">
        <f t="shared" si="2"/>
        <v>3874185.355</v>
      </c>
      <c r="L40" s="1023">
        <f t="shared" si="3"/>
        <v>487353.3639</v>
      </c>
      <c r="M40" s="474">
        <v>12</v>
      </c>
      <c r="N40" s="1029">
        <f t="shared" si="4"/>
        <v>40612.780325</v>
      </c>
      <c r="O40" s="806">
        <v>41146.5394666668</v>
      </c>
      <c r="P40" s="806">
        <f t="shared" si="5"/>
        <v>-533.7591416668</v>
      </c>
      <c r="Q40" s="807"/>
      <c r="R40" s="479"/>
      <c r="S40" s="479"/>
    </row>
    <row r="41" ht="15.5" spans="1:19">
      <c r="A41" s="464">
        <v>36</v>
      </c>
      <c r="B41" s="351" t="s">
        <v>109</v>
      </c>
      <c r="C41" s="1023">
        <v>344900.833333334</v>
      </c>
      <c r="D41" s="1021">
        <v>12</v>
      </c>
      <c r="E41" s="1023">
        <f t="shared" si="6"/>
        <v>4138810.00000001</v>
      </c>
      <c r="F41" s="1023"/>
      <c r="G41" s="1023">
        <v>57653.8250000001</v>
      </c>
      <c r="H41" s="1024">
        <v>283104.800000001</v>
      </c>
      <c r="I41" s="1023"/>
      <c r="J41" s="1023">
        <f t="shared" si="1"/>
        <v>340758.625000001</v>
      </c>
      <c r="K41" s="1023">
        <f t="shared" si="2"/>
        <v>3798051.37500001</v>
      </c>
      <c r="L41" s="1023">
        <f t="shared" si="3"/>
        <v>473649.247500001</v>
      </c>
      <c r="M41" s="474">
        <v>12</v>
      </c>
      <c r="N41" s="1029">
        <f t="shared" si="4"/>
        <v>39470.7706250001</v>
      </c>
      <c r="O41" s="806">
        <v>39273.5102666667</v>
      </c>
      <c r="P41" s="806">
        <f t="shared" si="5"/>
        <v>197.260358333413</v>
      </c>
      <c r="Q41" s="807"/>
      <c r="R41" s="479"/>
      <c r="S41" s="479"/>
    </row>
    <row r="42" ht="15.5" spans="1:19">
      <c r="A42" s="464">
        <v>37</v>
      </c>
      <c r="B42" s="351" t="s">
        <v>112</v>
      </c>
      <c r="C42" s="1023">
        <v>344900.833333334</v>
      </c>
      <c r="D42" s="1021">
        <v>12</v>
      </c>
      <c r="E42" s="1023">
        <f t="shared" si="6"/>
        <v>4138810.00000001</v>
      </c>
      <c r="F42" s="1023"/>
      <c r="G42" s="1023">
        <v>0</v>
      </c>
      <c r="H42" s="1024">
        <v>283104.800000001</v>
      </c>
      <c r="I42" s="1023"/>
      <c r="J42" s="1023">
        <f t="shared" si="1"/>
        <v>283104.800000001</v>
      </c>
      <c r="K42" s="1023">
        <f t="shared" si="2"/>
        <v>3855705.20000001</v>
      </c>
      <c r="L42" s="1023">
        <f t="shared" si="3"/>
        <v>484026.936000001</v>
      </c>
      <c r="M42" s="474">
        <v>12</v>
      </c>
      <c r="N42" s="1029">
        <f t="shared" si="4"/>
        <v>40335.5780000001</v>
      </c>
      <c r="O42" s="806">
        <v>40063.0867466667</v>
      </c>
      <c r="P42" s="806">
        <f t="shared" si="5"/>
        <v>272.491253333421</v>
      </c>
      <c r="Q42" s="807"/>
      <c r="R42" s="479"/>
      <c r="S42" s="479"/>
    </row>
    <row r="43" ht="15.5" spans="1:19">
      <c r="A43" s="464">
        <v>38</v>
      </c>
      <c r="B43" s="351" t="s">
        <v>114</v>
      </c>
      <c r="C43" s="1023">
        <v>344900.833333334</v>
      </c>
      <c r="D43" s="1021">
        <v>12</v>
      </c>
      <c r="E43" s="1023">
        <f t="shared" si="6"/>
        <v>4138810.00000001</v>
      </c>
      <c r="F43" s="1023"/>
      <c r="G43" s="1023">
        <v>0</v>
      </c>
      <c r="H43" s="1024">
        <v>283104.800000001</v>
      </c>
      <c r="I43" s="1023"/>
      <c r="J43" s="1023">
        <f t="shared" si="1"/>
        <v>283104.800000001</v>
      </c>
      <c r="K43" s="1023">
        <f t="shared" si="2"/>
        <v>3855705.20000001</v>
      </c>
      <c r="L43" s="1023">
        <f t="shared" si="3"/>
        <v>484026.936000001</v>
      </c>
      <c r="M43" s="474">
        <v>12</v>
      </c>
      <c r="N43" s="1029">
        <f t="shared" si="4"/>
        <v>40335.5780000001</v>
      </c>
      <c r="O43" s="806">
        <v>40063.0867466667</v>
      </c>
      <c r="P43" s="806">
        <f t="shared" si="5"/>
        <v>272.491253333421</v>
      </c>
      <c r="Q43" s="807"/>
      <c r="R43" s="479"/>
      <c r="S43" s="479"/>
    </row>
    <row r="44" ht="15.5" spans="1:19">
      <c r="A44" s="464">
        <v>39</v>
      </c>
      <c r="B44" s="351" t="s">
        <v>115</v>
      </c>
      <c r="C44" s="1023">
        <v>344900.833333334</v>
      </c>
      <c r="D44" s="1021">
        <v>12</v>
      </c>
      <c r="E44" s="1023">
        <f t="shared" si="6"/>
        <v>4138810.00000001</v>
      </c>
      <c r="F44" s="1023"/>
      <c r="G44" s="1023">
        <v>0</v>
      </c>
      <c r="H44" s="1024">
        <v>283104.800000001</v>
      </c>
      <c r="I44" s="1023"/>
      <c r="J44" s="1023">
        <f t="shared" si="1"/>
        <v>283104.800000001</v>
      </c>
      <c r="K44" s="1023">
        <f t="shared" si="2"/>
        <v>3855705.20000001</v>
      </c>
      <c r="L44" s="1023">
        <f t="shared" si="3"/>
        <v>484026.936000001</v>
      </c>
      <c r="M44" s="474">
        <v>12</v>
      </c>
      <c r="N44" s="1029">
        <f t="shared" si="4"/>
        <v>40335.5780000001</v>
      </c>
      <c r="O44" s="806">
        <v>40063.0867466667</v>
      </c>
      <c r="P44" s="806">
        <f t="shared" si="5"/>
        <v>272.491253333421</v>
      </c>
      <c r="Q44" s="807"/>
      <c r="R44" s="479"/>
      <c r="S44" s="479"/>
    </row>
    <row r="45" ht="15.5" spans="1:19">
      <c r="A45" s="464">
        <v>40</v>
      </c>
      <c r="B45" s="351" t="s">
        <v>117</v>
      </c>
      <c r="C45" s="1023">
        <v>344900.833333334</v>
      </c>
      <c r="D45" s="1021">
        <v>12</v>
      </c>
      <c r="E45" s="1023">
        <f t="shared" si="6"/>
        <v>4138810.00000001</v>
      </c>
      <c r="F45" s="1023"/>
      <c r="G45" s="1023">
        <v>0</v>
      </c>
      <c r="H45" s="1024">
        <v>283104.800000001</v>
      </c>
      <c r="I45" s="1023"/>
      <c r="J45" s="1023">
        <f t="shared" si="1"/>
        <v>283104.800000001</v>
      </c>
      <c r="K45" s="1023">
        <f t="shared" si="2"/>
        <v>3855705.20000001</v>
      </c>
      <c r="L45" s="1023">
        <f t="shared" si="3"/>
        <v>484026.936000001</v>
      </c>
      <c r="M45" s="474">
        <v>12</v>
      </c>
      <c r="N45" s="1029">
        <f t="shared" si="4"/>
        <v>40335.5780000001</v>
      </c>
      <c r="O45" s="806">
        <v>40063.0867466667</v>
      </c>
      <c r="P45" s="806">
        <f t="shared" si="5"/>
        <v>272.491253333421</v>
      </c>
      <c r="Q45" s="807"/>
      <c r="R45" s="479"/>
      <c r="S45" s="479"/>
    </row>
    <row r="46" ht="15.5" spans="1:19">
      <c r="A46" s="464">
        <v>41</v>
      </c>
      <c r="B46" s="351" t="s">
        <v>118</v>
      </c>
      <c r="C46" s="1023">
        <v>344900.833333334</v>
      </c>
      <c r="D46" s="1021">
        <v>12</v>
      </c>
      <c r="E46" s="1023">
        <f t="shared" si="6"/>
        <v>4138810.00000001</v>
      </c>
      <c r="F46" s="1023"/>
      <c r="G46" s="1023">
        <v>0</v>
      </c>
      <c r="H46" s="1024">
        <v>283104.800000001</v>
      </c>
      <c r="I46" s="1023"/>
      <c r="J46" s="1023">
        <f t="shared" si="1"/>
        <v>283104.800000001</v>
      </c>
      <c r="K46" s="1023">
        <f t="shared" si="2"/>
        <v>3855705.20000001</v>
      </c>
      <c r="L46" s="1023">
        <f t="shared" si="3"/>
        <v>484026.936000001</v>
      </c>
      <c r="M46" s="474">
        <v>12</v>
      </c>
      <c r="N46" s="1029">
        <f t="shared" si="4"/>
        <v>40335.5780000001</v>
      </c>
      <c r="O46" s="806">
        <v>40063.2413066667</v>
      </c>
      <c r="P46" s="806">
        <f t="shared" si="5"/>
        <v>272.336693333418</v>
      </c>
      <c r="Q46" s="807"/>
      <c r="R46" s="479"/>
      <c r="S46" s="479"/>
    </row>
    <row r="47" ht="15.5" spans="1:19">
      <c r="A47" s="464"/>
      <c r="B47" s="351" t="s">
        <v>120</v>
      </c>
      <c r="C47" s="1025">
        <f>SUM(C6:C46)</f>
        <v>26032451.1666667</v>
      </c>
      <c r="D47" s="1026"/>
      <c r="E47" s="1025">
        <f t="shared" ref="D47:P47" si="7">SUM(E6:E46)</f>
        <v>312389414</v>
      </c>
      <c r="F47" s="1025">
        <f t="shared" si="7"/>
        <v>0</v>
      </c>
      <c r="G47" s="1025">
        <f t="shared" si="7"/>
        <v>1778670.725</v>
      </c>
      <c r="H47" s="1025">
        <f t="shared" si="7"/>
        <v>16947334.72</v>
      </c>
      <c r="I47" s="1025">
        <f t="shared" si="7"/>
        <v>0</v>
      </c>
      <c r="J47" s="1025">
        <f t="shared" si="7"/>
        <v>18726005.445</v>
      </c>
      <c r="K47" s="1025">
        <f t="shared" si="7"/>
        <v>293663408.555</v>
      </c>
      <c r="L47" s="1025">
        <f t="shared" si="7"/>
        <v>45073824.5034</v>
      </c>
      <c r="M47" s="1025">
        <f t="shared" si="7"/>
        <v>492</v>
      </c>
      <c r="N47" s="1030">
        <f t="shared" si="7"/>
        <v>3756152.04195</v>
      </c>
      <c r="O47" s="1025">
        <f t="shared" si="7"/>
        <v>3803910.29146667</v>
      </c>
      <c r="P47" s="1025">
        <f t="shared" si="7"/>
        <v>-47758.2495166709</v>
      </c>
      <c r="Q47" s="807"/>
      <c r="R47" s="479"/>
      <c r="S47" s="479"/>
    </row>
    <row r="48" ht="15" spans="1:19">
      <c r="A48" s="464"/>
      <c r="B48" s="864"/>
      <c r="C48" s="1023"/>
      <c r="D48" s="1021"/>
      <c r="E48" s="1023"/>
      <c r="F48" s="1023"/>
      <c r="G48" s="1023"/>
      <c r="H48" s="1024"/>
      <c r="I48" s="1023"/>
      <c r="J48" s="1023"/>
      <c r="K48" s="1023"/>
      <c r="L48" s="1023"/>
      <c r="M48" s="474"/>
      <c r="N48" s="1029"/>
      <c r="O48" s="806"/>
      <c r="P48" s="806"/>
      <c r="Q48" s="807"/>
      <c r="R48" s="479"/>
      <c r="S48" s="479"/>
    </row>
    <row r="49" ht="15.5" spans="1:19">
      <c r="A49" s="464"/>
      <c r="B49" s="351" t="s">
        <v>121</v>
      </c>
      <c r="C49" s="1023"/>
      <c r="D49" s="1021"/>
      <c r="E49" s="1023"/>
      <c r="F49" s="1023"/>
      <c r="G49" s="1023"/>
      <c r="H49" s="1023"/>
      <c r="I49" s="1023"/>
      <c r="J49" s="1023"/>
      <c r="K49" s="1023"/>
      <c r="L49" s="1023"/>
      <c r="M49" s="474"/>
      <c r="N49" s="1029"/>
      <c r="O49" s="806"/>
      <c r="P49" s="806"/>
      <c r="Q49" s="807"/>
      <c r="R49" s="479"/>
      <c r="S49" s="479"/>
    </row>
    <row r="50" ht="15.5" spans="1:20">
      <c r="A50" s="464">
        <v>1</v>
      </c>
      <c r="B50" s="351" t="s">
        <v>122</v>
      </c>
      <c r="C50" s="1023">
        <v>1847106.41666666</v>
      </c>
      <c r="D50" s="1021">
        <v>12</v>
      </c>
      <c r="E50" s="1023">
        <f t="shared" si="6"/>
        <v>22165276.9999999</v>
      </c>
      <c r="F50" s="1023"/>
      <c r="G50" s="1023">
        <v>0</v>
      </c>
      <c r="H50" s="1023">
        <v>1677222.15999999</v>
      </c>
      <c r="I50" s="1023"/>
      <c r="J50" s="1023">
        <f t="shared" si="1"/>
        <v>1677222.15999999</v>
      </c>
      <c r="K50" s="1023">
        <f t="shared" si="2"/>
        <v>20488054.8399999</v>
      </c>
      <c r="L50" s="1023">
        <f t="shared" si="3"/>
        <v>3732491.51639999</v>
      </c>
      <c r="M50" s="474">
        <v>12</v>
      </c>
      <c r="N50" s="1029">
        <f t="shared" si="4"/>
        <v>311040.959699999</v>
      </c>
      <c r="O50" s="806">
        <v>306475.544106665</v>
      </c>
      <c r="P50" s="806">
        <f t="shared" si="5"/>
        <v>4565.41559333378</v>
      </c>
      <c r="Q50" s="807"/>
      <c r="R50" s="479"/>
      <c r="S50" s="479"/>
      <c r="T50" s="479"/>
    </row>
    <row r="51" ht="15.5" spans="1:19">
      <c r="A51" s="464">
        <v>2</v>
      </c>
      <c r="B51" s="643" t="s">
        <v>125</v>
      </c>
      <c r="C51" s="1023">
        <v>802595.5</v>
      </c>
      <c r="D51" s="1021">
        <v>12</v>
      </c>
      <c r="E51" s="1023">
        <f t="shared" si="6"/>
        <v>9631146</v>
      </c>
      <c r="F51" s="1023"/>
      <c r="G51" s="1023">
        <v>0</v>
      </c>
      <c r="H51" s="1023">
        <v>693691.68</v>
      </c>
      <c r="I51" s="1023"/>
      <c r="J51" s="1023">
        <f t="shared" si="1"/>
        <v>693691.68</v>
      </c>
      <c r="K51" s="1023">
        <f t="shared" si="2"/>
        <v>8937454.32</v>
      </c>
      <c r="L51" s="1023">
        <f t="shared" si="3"/>
        <v>1398741.7776</v>
      </c>
      <c r="M51" s="474">
        <v>12</v>
      </c>
      <c r="N51" s="1029">
        <f t="shared" si="4"/>
        <v>116561.8148</v>
      </c>
      <c r="O51" s="806">
        <v>117800.772906667</v>
      </c>
      <c r="P51" s="806">
        <f t="shared" si="5"/>
        <v>-1238.95810666701</v>
      </c>
      <c r="Q51" s="807"/>
      <c r="R51" s="479"/>
      <c r="S51" s="479"/>
    </row>
    <row r="52" ht="15.5" spans="1:19">
      <c r="A52" s="464">
        <v>3</v>
      </c>
      <c r="B52" s="643" t="s">
        <v>127</v>
      </c>
      <c r="C52" s="1023">
        <v>450135.833333334</v>
      </c>
      <c r="D52" s="1021">
        <v>12</v>
      </c>
      <c r="E52" s="1023">
        <f t="shared" si="6"/>
        <v>5401630.00000001</v>
      </c>
      <c r="F52" s="1023"/>
      <c r="G52" s="1023">
        <v>73851.3500000001</v>
      </c>
      <c r="H52" s="1024">
        <v>374530.400000001</v>
      </c>
      <c r="I52" s="1023"/>
      <c r="J52" s="1023">
        <f t="shared" si="1"/>
        <v>448381.750000001</v>
      </c>
      <c r="K52" s="1023">
        <f t="shared" si="2"/>
        <v>4953248.25000001</v>
      </c>
      <c r="L52" s="1023">
        <f t="shared" si="3"/>
        <v>681584.685000001</v>
      </c>
      <c r="M52" s="474">
        <v>12</v>
      </c>
      <c r="N52" s="1029">
        <f t="shared" si="4"/>
        <v>56798.7237500001</v>
      </c>
      <c r="O52" s="806">
        <v>57511.3540266665</v>
      </c>
      <c r="P52" s="806">
        <f t="shared" si="5"/>
        <v>-712.630276666387</v>
      </c>
      <c r="Q52" s="807"/>
      <c r="R52" s="479"/>
      <c r="S52" s="479"/>
    </row>
    <row r="53" ht="15.5" spans="1:19">
      <c r="A53" s="464">
        <v>4</v>
      </c>
      <c r="B53" s="643" t="s">
        <v>129</v>
      </c>
      <c r="C53" s="1023">
        <v>514993.583333333</v>
      </c>
      <c r="D53" s="1021">
        <v>12</v>
      </c>
      <c r="E53" s="1023">
        <f t="shared" si="6"/>
        <v>6179923</v>
      </c>
      <c r="F53" s="1023"/>
      <c r="G53" s="1023">
        <v>0</v>
      </c>
      <c r="H53" s="1024">
        <v>436793.84</v>
      </c>
      <c r="I53" s="1023"/>
      <c r="J53" s="1023">
        <f t="shared" si="1"/>
        <v>436793.84</v>
      </c>
      <c r="K53" s="1023">
        <f t="shared" si="2"/>
        <v>5743129.16</v>
      </c>
      <c r="L53" s="1023">
        <f t="shared" si="3"/>
        <v>823763.248799999</v>
      </c>
      <c r="M53" s="474">
        <v>12</v>
      </c>
      <c r="N53" s="1029">
        <f t="shared" si="4"/>
        <v>68646.9374</v>
      </c>
      <c r="O53" s="806">
        <v>66777.4824266667</v>
      </c>
      <c r="P53" s="806">
        <f t="shared" si="5"/>
        <v>1869.45497333325</v>
      </c>
      <c r="Q53" s="807"/>
      <c r="R53" s="479"/>
      <c r="S53" s="479"/>
    </row>
    <row r="54" ht="15.5" spans="1:19">
      <c r="A54" s="464">
        <v>5</v>
      </c>
      <c r="B54" s="643" t="s">
        <v>132</v>
      </c>
      <c r="C54" s="1023">
        <v>398711.666666667</v>
      </c>
      <c r="D54" s="1021">
        <v>12</v>
      </c>
      <c r="E54" s="1023">
        <f t="shared" si="6"/>
        <v>4784540</v>
      </c>
      <c r="F54" s="1023"/>
      <c r="G54" s="1023">
        <v>65320.0250000001</v>
      </c>
      <c r="H54" s="1024">
        <v>325163.2</v>
      </c>
      <c r="I54" s="1023"/>
      <c r="J54" s="1023">
        <f t="shared" si="1"/>
        <v>390483.225</v>
      </c>
      <c r="K54" s="1023">
        <f t="shared" si="2"/>
        <v>4394056.775</v>
      </c>
      <c r="L54" s="1023">
        <f t="shared" si="3"/>
        <v>580930.219500001</v>
      </c>
      <c r="M54" s="474">
        <v>12</v>
      </c>
      <c r="N54" s="1029">
        <f t="shared" si="4"/>
        <v>48410.8516250001</v>
      </c>
      <c r="O54" s="806">
        <v>48549.7738666667</v>
      </c>
      <c r="P54" s="806">
        <f t="shared" si="5"/>
        <v>-138.922241666638</v>
      </c>
      <c r="Q54" s="807"/>
      <c r="R54" s="479"/>
      <c r="S54" s="479"/>
    </row>
    <row r="55" ht="15.5" spans="1:19">
      <c r="A55" s="464">
        <v>6</v>
      </c>
      <c r="B55" s="643" t="s">
        <v>133</v>
      </c>
      <c r="C55" s="1023">
        <v>407016.166666666</v>
      </c>
      <c r="D55" s="1021">
        <v>12</v>
      </c>
      <c r="E55" s="1023">
        <f t="shared" si="6"/>
        <v>4884193.99999999</v>
      </c>
      <c r="F55" s="1023"/>
      <c r="G55" s="1023">
        <v>66802.3749999999</v>
      </c>
      <c r="H55" s="1024">
        <v>333135.519999999</v>
      </c>
      <c r="I55" s="1023"/>
      <c r="J55" s="1023">
        <f t="shared" si="1"/>
        <v>399937.894999999</v>
      </c>
      <c r="K55" s="1023">
        <f t="shared" si="2"/>
        <v>4484256.10499999</v>
      </c>
      <c r="L55" s="1023">
        <f t="shared" si="3"/>
        <v>597166.098899999</v>
      </c>
      <c r="M55" s="474">
        <v>12</v>
      </c>
      <c r="N55" s="1029">
        <f t="shared" si="4"/>
        <v>49763.8415749999</v>
      </c>
      <c r="O55" s="806">
        <v>50016.6954666667</v>
      </c>
      <c r="P55" s="806">
        <f t="shared" si="5"/>
        <v>-252.853891666811</v>
      </c>
      <c r="Q55" s="807"/>
      <c r="R55" s="479"/>
      <c r="S55" s="479"/>
    </row>
    <row r="56" ht="15.5" spans="1:19">
      <c r="A56" s="464">
        <v>7</v>
      </c>
      <c r="B56" s="643" t="s">
        <v>135</v>
      </c>
      <c r="C56" s="1023">
        <v>344900.833333334</v>
      </c>
      <c r="D56" s="1021">
        <v>12</v>
      </c>
      <c r="E56" s="1023">
        <f t="shared" si="6"/>
        <v>4138810.00000001</v>
      </c>
      <c r="F56" s="1023"/>
      <c r="G56" s="1023">
        <v>0</v>
      </c>
      <c r="H56" s="1024">
        <v>283104.800000001</v>
      </c>
      <c r="I56" s="1023"/>
      <c r="J56" s="1023">
        <f t="shared" si="1"/>
        <v>283104.800000001</v>
      </c>
      <c r="K56" s="1023">
        <f t="shared" si="2"/>
        <v>3855705.20000001</v>
      </c>
      <c r="L56" s="1023">
        <f t="shared" si="3"/>
        <v>484026.936000001</v>
      </c>
      <c r="M56" s="474">
        <v>12</v>
      </c>
      <c r="N56" s="1029">
        <f t="shared" si="4"/>
        <v>40335.5780000001</v>
      </c>
      <c r="O56" s="806">
        <v>40063.0867466667</v>
      </c>
      <c r="P56" s="806">
        <f t="shared" si="5"/>
        <v>272.491253333421</v>
      </c>
      <c r="Q56" s="807"/>
      <c r="R56" s="479"/>
      <c r="S56" s="479"/>
    </row>
    <row r="57" ht="15.5" spans="1:19">
      <c r="A57" s="464"/>
      <c r="B57" s="643"/>
      <c r="C57" s="1025">
        <f>SUM(C50:C56)</f>
        <v>4765459.99999999</v>
      </c>
      <c r="D57" s="1026"/>
      <c r="E57" s="1025">
        <f t="shared" ref="D57:P57" si="8">SUM(E50:E56)</f>
        <v>57185519.9999999</v>
      </c>
      <c r="F57" s="1025"/>
      <c r="G57" s="1025">
        <f t="shared" si="8"/>
        <v>205973.75</v>
      </c>
      <c r="H57" s="1025">
        <f t="shared" si="8"/>
        <v>4123641.59999999</v>
      </c>
      <c r="I57" s="1025"/>
      <c r="J57" s="1025">
        <f t="shared" si="8"/>
        <v>4329615.34999999</v>
      </c>
      <c r="K57" s="1025">
        <f t="shared" si="8"/>
        <v>52855904.6499999</v>
      </c>
      <c r="L57" s="1025">
        <f t="shared" si="8"/>
        <v>8298704.48219999</v>
      </c>
      <c r="M57" s="1025"/>
      <c r="N57" s="1030">
        <f t="shared" si="8"/>
        <v>691558.706849999</v>
      </c>
      <c r="O57" s="1025">
        <f t="shared" si="8"/>
        <v>687194.709546665</v>
      </c>
      <c r="P57" s="1025">
        <f t="shared" si="8"/>
        <v>4363.99730333361</v>
      </c>
      <c r="Q57" s="807"/>
      <c r="R57" s="479"/>
      <c r="S57" s="479"/>
    </row>
    <row r="58" ht="15" spans="1:19">
      <c r="A58" s="464"/>
      <c r="B58" s="869"/>
      <c r="C58" s="1023"/>
      <c r="D58" s="1021"/>
      <c r="E58" s="1023"/>
      <c r="F58" s="1023"/>
      <c r="G58" s="938"/>
      <c r="H58" s="938"/>
      <c r="I58" s="938"/>
      <c r="J58" s="1023"/>
      <c r="K58" s="1023"/>
      <c r="L58" s="1023"/>
      <c r="M58" s="474"/>
      <c r="N58" s="1029"/>
      <c r="O58" s="806"/>
      <c r="P58" s="806"/>
      <c r="Q58" s="807"/>
      <c r="R58" s="479"/>
      <c r="S58" s="479"/>
    </row>
    <row r="59" ht="15.5" spans="1:19">
      <c r="A59" s="464"/>
      <c r="B59" s="643" t="s">
        <v>137</v>
      </c>
      <c r="C59" s="1022"/>
      <c r="D59" s="1021"/>
      <c r="E59" s="1023"/>
      <c r="F59" s="1023"/>
      <c r="G59" s="1023"/>
      <c r="H59" s="1024"/>
      <c r="I59" s="1023"/>
      <c r="J59" s="1023"/>
      <c r="K59" s="1023"/>
      <c r="L59" s="1023"/>
      <c r="M59" s="474"/>
      <c r="N59" s="1029"/>
      <c r="O59" s="806"/>
      <c r="P59" s="806"/>
      <c r="Q59" s="807"/>
      <c r="R59" s="479"/>
      <c r="S59" s="479"/>
    </row>
    <row r="60" ht="15.5" spans="1:19">
      <c r="A60" s="464">
        <v>1</v>
      </c>
      <c r="B60" s="643" t="s">
        <v>138</v>
      </c>
      <c r="C60" s="1023">
        <v>1897359.33333333</v>
      </c>
      <c r="D60" s="1021">
        <v>12</v>
      </c>
      <c r="E60" s="1023">
        <f t="shared" si="6"/>
        <v>22768312</v>
      </c>
      <c r="F60" s="1023"/>
      <c r="G60" s="938">
        <v>0</v>
      </c>
      <c r="H60" s="1024">
        <v>1629464.96</v>
      </c>
      <c r="I60" s="938"/>
      <c r="J60" s="1023">
        <f t="shared" si="1"/>
        <v>1629464.96</v>
      </c>
      <c r="K60" s="1023">
        <f t="shared" si="2"/>
        <v>21138847.04</v>
      </c>
      <c r="L60" s="1023">
        <f t="shared" si="3"/>
        <v>3869157.87839999</v>
      </c>
      <c r="M60" s="474">
        <v>12</v>
      </c>
      <c r="N60" s="1029">
        <f t="shared" si="4"/>
        <v>322429.823199999</v>
      </c>
      <c r="O60" s="806">
        <v>319502.658986667</v>
      </c>
      <c r="P60" s="806">
        <f t="shared" si="5"/>
        <v>2927.16421333229</v>
      </c>
      <c r="Q60" s="807"/>
      <c r="R60" s="479"/>
      <c r="S60" s="479"/>
    </row>
    <row r="61" ht="15.5" spans="1:19">
      <c r="A61" s="464">
        <v>2</v>
      </c>
      <c r="B61" s="643" t="s">
        <v>141</v>
      </c>
      <c r="C61" s="1023">
        <v>904477</v>
      </c>
      <c r="D61" s="1021">
        <v>12</v>
      </c>
      <c r="E61" s="1023">
        <f t="shared" si="6"/>
        <v>10853724</v>
      </c>
      <c r="F61" s="1023"/>
      <c r="G61" s="938">
        <v>0</v>
      </c>
      <c r="H61" s="1024">
        <v>714697.92</v>
      </c>
      <c r="I61" s="938"/>
      <c r="J61" s="1023">
        <f t="shared" si="1"/>
        <v>714697.92</v>
      </c>
      <c r="K61" s="1023">
        <f t="shared" si="2"/>
        <v>10139026.08</v>
      </c>
      <c r="L61" s="1023">
        <f t="shared" si="3"/>
        <v>1615024.6944</v>
      </c>
      <c r="M61" s="474">
        <v>12</v>
      </c>
      <c r="N61" s="1029">
        <f t="shared" si="4"/>
        <v>134585.3912</v>
      </c>
      <c r="O61" s="806">
        <v>140891.083946667</v>
      </c>
      <c r="P61" s="806">
        <f t="shared" si="5"/>
        <v>-6305.69274666702</v>
      </c>
      <c r="Q61" s="807"/>
      <c r="R61" s="479"/>
      <c r="S61" s="479"/>
    </row>
    <row r="62" ht="15.5" spans="1:19">
      <c r="A62" s="464">
        <v>3</v>
      </c>
      <c r="B62" s="643" t="s">
        <v>143</v>
      </c>
      <c r="C62" s="1023">
        <v>904477</v>
      </c>
      <c r="D62" s="1021">
        <v>12</v>
      </c>
      <c r="E62" s="1023">
        <f t="shared" si="6"/>
        <v>10853724</v>
      </c>
      <c r="F62" s="1023"/>
      <c r="G62" s="938">
        <v>137703.15</v>
      </c>
      <c r="H62" s="1024">
        <v>714697.92</v>
      </c>
      <c r="I62" s="938"/>
      <c r="J62" s="1023">
        <f t="shared" si="1"/>
        <v>852401.07</v>
      </c>
      <c r="K62" s="1023">
        <f t="shared" si="2"/>
        <v>10001322.93</v>
      </c>
      <c r="L62" s="1023">
        <f t="shared" si="3"/>
        <v>1590238.1274</v>
      </c>
      <c r="M62" s="474">
        <v>12</v>
      </c>
      <c r="N62" s="1029">
        <f t="shared" si="4"/>
        <v>132519.84395</v>
      </c>
      <c r="O62" s="806">
        <v>138687.833546667</v>
      </c>
      <c r="P62" s="806">
        <f t="shared" si="5"/>
        <v>-6167.98959666703</v>
      </c>
      <c r="Q62" s="807"/>
      <c r="R62" s="479"/>
      <c r="S62" s="479"/>
    </row>
    <row r="63" ht="15.5" spans="1:19">
      <c r="A63" s="464">
        <v>4</v>
      </c>
      <c r="B63" s="643" t="s">
        <v>144</v>
      </c>
      <c r="C63" s="1023">
        <v>904477</v>
      </c>
      <c r="D63" s="1021">
        <v>12</v>
      </c>
      <c r="E63" s="1023">
        <f t="shared" si="6"/>
        <v>10853724</v>
      </c>
      <c r="F63" s="1023"/>
      <c r="G63" s="1023">
        <v>0</v>
      </c>
      <c r="H63" s="1024">
        <v>714697.92</v>
      </c>
      <c r="I63" s="938"/>
      <c r="J63" s="1023">
        <f t="shared" si="1"/>
        <v>714697.92</v>
      </c>
      <c r="K63" s="1023">
        <f t="shared" si="2"/>
        <v>10139026.08</v>
      </c>
      <c r="L63" s="1023">
        <f t="shared" si="3"/>
        <v>1615024.6944</v>
      </c>
      <c r="M63" s="474">
        <v>12</v>
      </c>
      <c r="N63" s="1029">
        <f t="shared" si="4"/>
        <v>134585.3912</v>
      </c>
      <c r="O63" s="806">
        <v>137025.935786667</v>
      </c>
      <c r="P63" s="806">
        <f t="shared" si="5"/>
        <v>-2440.54458666701</v>
      </c>
      <c r="Q63" s="807"/>
      <c r="R63" s="479"/>
      <c r="S63" s="479"/>
    </row>
    <row r="64" ht="15.5" spans="1:19">
      <c r="A64" s="464">
        <v>5</v>
      </c>
      <c r="B64" s="643" t="s">
        <v>145</v>
      </c>
      <c r="C64" s="1023">
        <v>882595.5</v>
      </c>
      <c r="D64" s="1021">
        <v>12</v>
      </c>
      <c r="E64" s="1023">
        <f t="shared" si="6"/>
        <v>10591146</v>
      </c>
      <c r="F64" s="1023"/>
      <c r="G64" s="1023">
        <v>0</v>
      </c>
      <c r="H64" s="1024">
        <v>693691.68</v>
      </c>
      <c r="I64" s="938"/>
      <c r="J64" s="1023">
        <f t="shared" si="1"/>
        <v>693691.68</v>
      </c>
      <c r="K64" s="1023">
        <f t="shared" si="2"/>
        <v>9897454.32</v>
      </c>
      <c r="L64" s="1023">
        <f t="shared" si="3"/>
        <v>1571541.7776</v>
      </c>
      <c r="M64" s="474">
        <v>12</v>
      </c>
      <c r="N64" s="1029">
        <f t="shared" si="4"/>
        <v>130961.8148</v>
      </c>
      <c r="O64" s="806">
        <v>133160.772906667</v>
      </c>
      <c r="P64" s="806">
        <f t="shared" si="5"/>
        <v>-2198.95810666701</v>
      </c>
      <c r="Q64" s="807"/>
      <c r="R64" s="479"/>
      <c r="S64" s="479"/>
    </row>
    <row r="65" ht="15.5" spans="1:19">
      <c r="A65" s="464">
        <v>6</v>
      </c>
      <c r="B65" s="639" t="s">
        <v>146</v>
      </c>
      <c r="C65" s="1023">
        <v>882595.5</v>
      </c>
      <c r="D65" s="1021">
        <v>12</v>
      </c>
      <c r="E65" s="1023">
        <f t="shared" si="6"/>
        <v>10591146</v>
      </c>
      <c r="F65" s="1023"/>
      <c r="G65" s="1023">
        <v>0</v>
      </c>
      <c r="H65" s="1024">
        <v>693691.68</v>
      </c>
      <c r="I65" s="938"/>
      <c r="J65" s="1023">
        <f t="shared" si="1"/>
        <v>693691.68</v>
      </c>
      <c r="K65" s="1023">
        <f t="shared" si="2"/>
        <v>9897454.32</v>
      </c>
      <c r="L65" s="1023">
        <f t="shared" si="3"/>
        <v>1571541.7776</v>
      </c>
      <c r="M65" s="474">
        <v>12</v>
      </c>
      <c r="N65" s="1029">
        <f t="shared" si="4"/>
        <v>130961.8148</v>
      </c>
      <c r="O65" s="806">
        <v>133160.772906667</v>
      </c>
      <c r="P65" s="806">
        <f t="shared" si="5"/>
        <v>-2198.95810666701</v>
      </c>
      <c r="Q65" s="807"/>
      <c r="R65" s="479"/>
      <c r="S65" s="479"/>
    </row>
    <row r="66" ht="15.5" spans="1:19">
      <c r="A66" s="464">
        <v>7</v>
      </c>
      <c r="B66" s="643" t="s">
        <v>147</v>
      </c>
      <c r="C66" s="1023">
        <v>564993.583333333</v>
      </c>
      <c r="D66" s="1021">
        <v>12</v>
      </c>
      <c r="E66" s="1023">
        <f t="shared" si="6"/>
        <v>6779923</v>
      </c>
      <c r="F66" s="1023"/>
      <c r="G66" s="1023">
        <v>0</v>
      </c>
      <c r="H66" s="1024">
        <v>436793.84</v>
      </c>
      <c r="I66" s="938"/>
      <c r="J66" s="1023">
        <f t="shared" si="1"/>
        <v>436793.84</v>
      </c>
      <c r="K66" s="1023">
        <f t="shared" si="2"/>
        <v>6343129.16</v>
      </c>
      <c r="L66" s="1023">
        <f t="shared" si="3"/>
        <v>931763.248799999</v>
      </c>
      <c r="M66" s="474">
        <v>12</v>
      </c>
      <c r="N66" s="1029">
        <f t="shared" si="4"/>
        <v>77646.9374</v>
      </c>
      <c r="O66" s="806">
        <v>77712.9924266667</v>
      </c>
      <c r="P66" s="806">
        <f t="shared" si="5"/>
        <v>-66.0550266667415</v>
      </c>
      <c r="Q66" s="807"/>
      <c r="R66" s="479"/>
      <c r="S66" s="479"/>
    </row>
    <row r="67" ht="15.5" spans="1:19">
      <c r="A67" s="464">
        <v>8</v>
      </c>
      <c r="B67" s="643" t="s">
        <v>149</v>
      </c>
      <c r="C67" s="1023">
        <v>499131.166666667</v>
      </c>
      <c r="D67" s="1021">
        <v>12</v>
      </c>
      <c r="E67" s="1023">
        <f t="shared" si="6"/>
        <v>5989574</v>
      </c>
      <c r="F67" s="1023"/>
      <c r="G67" s="1023">
        <v>0</v>
      </c>
      <c r="H67" s="1024">
        <v>383165.92</v>
      </c>
      <c r="I67" s="938"/>
      <c r="J67" s="1023">
        <f t="shared" si="1"/>
        <v>383165.92</v>
      </c>
      <c r="K67" s="1023">
        <f t="shared" si="2"/>
        <v>5606408.08</v>
      </c>
      <c r="L67" s="1023">
        <f t="shared" si="3"/>
        <v>799153.454400001</v>
      </c>
      <c r="M67" s="474">
        <v>12</v>
      </c>
      <c r="N67" s="1029">
        <f t="shared" si="4"/>
        <v>66596.1212000001</v>
      </c>
      <c r="O67" s="806">
        <v>66780.2602666668</v>
      </c>
      <c r="P67" s="806">
        <f t="shared" si="5"/>
        <v>-184.139066666743</v>
      </c>
      <c r="Q67" s="807"/>
      <c r="R67" s="479"/>
      <c r="S67" s="479"/>
    </row>
    <row r="68" ht="15.5" spans="1:19">
      <c r="A68" s="464">
        <v>9</v>
      </c>
      <c r="B68" s="643" t="s">
        <v>152</v>
      </c>
      <c r="C68" s="1023">
        <v>481140.666666666</v>
      </c>
      <c r="D68" s="1021">
        <v>12</v>
      </c>
      <c r="E68" s="1023">
        <f t="shared" si="6"/>
        <v>5773687.99999999</v>
      </c>
      <c r="F68" s="1023"/>
      <c r="G68" s="1023">
        <v>0</v>
      </c>
      <c r="H68" s="1024">
        <v>365895.039999999</v>
      </c>
      <c r="I68" s="938"/>
      <c r="J68" s="1023">
        <f t="shared" si="1"/>
        <v>365895.039999999</v>
      </c>
      <c r="K68" s="1023">
        <f t="shared" si="2"/>
        <v>5407792.95999999</v>
      </c>
      <c r="L68" s="1023">
        <f t="shared" si="3"/>
        <v>763402.732799999</v>
      </c>
      <c r="M68" s="474">
        <v>12</v>
      </c>
      <c r="N68" s="1029">
        <f t="shared" si="4"/>
        <v>63616.8943999999</v>
      </c>
      <c r="O68" s="806">
        <v>63602.4183466667</v>
      </c>
      <c r="P68" s="806">
        <f t="shared" si="5"/>
        <v>14.4760533331937</v>
      </c>
      <c r="Q68" s="807"/>
      <c r="R68" s="479"/>
      <c r="S68" s="479"/>
    </row>
    <row r="69" ht="15.5" spans="1:19">
      <c r="A69" s="464">
        <v>10</v>
      </c>
      <c r="B69" s="643" t="s">
        <v>153</v>
      </c>
      <c r="C69" s="1023">
        <v>455320.666666667</v>
      </c>
      <c r="D69" s="1021">
        <v>12</v>
      </c>
      <c r="E69" s="1023">
        <f t="shared" si="6"/>
        <v>5463848</v>
      </c>
      <c r="F69" s="1023"/>
      <c r="G69" s="1023">
        <v>0</v>
      </c>
      <c r="H69" s="1024">
        <v>341107.84</v>
      </c>
      <c r="I69" s="938"/>
      <c r="J69" s="1023">
        <f t="shared" si="1"/>
        <v>341107.84</v>
      </c>
      <c r="K69" s="1023">
        <f t="shared" si="2"/>
        <v>5122740.16</v>
      </c>
      <c r="L69" s="1023">
        <f t="shared" si="3"/>
        <v>712093.228800001</v>
      </c>
      <c r="M69" s="474">
        <v>12</v>
      </c>
      <c r="N69" s="1029">
        <f t="shared" si="4"/>
        <v>59341.1024000001</v>
      </c>
      <c r="O69" s="806">
        <v>59163.6023466665</v>
      </c>
      <c r="P69" s="806">
        <f t="shared" si="5"/>
        <v>177.500053333555</v>
      </c>
      <c r="Q69" s="807"/>
      <c r="R69" s="479"/>
      <c r="S69" s="479"/>
    </row>
    <row r="70" ht="15.5" spans="1:19">
      <c r="A70" s="464">
        <v>11</v>
      </c>
      <c r="B70" s="643" t="s">
        <v>154</v>
      </c>
      <c r="C70" s="1023">
        <v>455320.666666667</v>
      </c>
      <c r="D70" s="1021">
        <v>12</v>
      </c>
      <c r="E70" s="1023">
        <f t="shared" si="6"/>
        <v>5463848</v>
      </c>
      <c r="F70" s="1023"/>
      <c r="G70" s="1023">
        <v>0</v>
      </c>
      <c r="H70" s="1024">
        <v>341107.84</v>
      </c>
      <c r="I70" s="938"/>
      <c r="J70" s="1023">
        <f t="shared" si="1"/>
        <v>341107.84</v>
      </c>
      <c r="K70" s="1023">
        <f t="shared" si="2"/>
        <v>5122740.16</v>
      </c>
      <c r="L70" s="1023">
        <f t="shared" si="3"/>
        <v>712093.228800001</v>
      </c>
      <c r="M70" s="474">
        <v>12</v>
      </c>
      <c r="N70" s="1029">
        <f t="shared" si="4"/>
        <v>59341.1024000001</v>
      </c>
      <c r="O70" s="806">
        <v>59163.6023466665</v>
      </c>
      <c r="P70" s="806">
        <f t="shared" si="5"/>
        <v>177.500053333555</v>
      </c>
      <c r="Q70" s="807"/>
      <c r="R70" s="479"/>
      <c r="S70" s="479"/>
    </row>
    <row r="71" ht="15.5" spans="1:19">
      <c r="A71" s="464">
        <v>12</v>
      </c>
      <c r="B71" s="643" t="s">
        <v>155</v>
      </c>
      <c r="C71" s="1023">
        <v>438711.666666667</v>
      </c>
      <c r="D71" s="1021">
        <v>12</v>
      </c>
      <c r="E71" s="1023">
        <f t="shared" si="6"/>
        <v>5264540</v>
      </c>
      <c r="F71" s="1023"/>
      <c r="G71" s="1023">
        <v>0</v>
      </c>
      <c r="H71" s="1024">
        <v>325163.2</v>
      </c>
      <c r="I71" s="938"/>
      <c r="J71" s="1023">
        <f t="shared" ref="J71:J134" si="9">F71+G71+H71</f>
        <v>325163.2</v>
      </c>
      <c r="K71" s="1023">
        <f t="shared" ref="K71:K134" si="10">E71-J71</f>
        <v>4939376.8</v>
      </c>
      <c r="L71" s="1023">
        <f t="shared" ref="L71:L134" si="11">IF(K71&lt;=800000,0,IF(K71&lt;=3000000,(K71-800000)*15%,IF(K71&lt;=12000000,330000+(K71-3000000)*18%,IF(K71&lt;=25000000,1950000+(K71-12000000)*21%,IF(K71&lt;=50000000,4680000+(K71-25000000)*23%,10430000+(K71-50000000)*25%)))))</f>
        <v>679087.824000001</v>
      </c>
      <c r="M71" s="474">
        <v>12</v>
      </c>
      <c r="N71" s="1029">
        <f t="shared" ref="N71:N134" si="12">L71/M71</f>
        <v>56590.6520000001</v>
      </c>
      <c r="O71" s="806">
        <v>70149.0738666667</v>
      </c>
      <c r="P71" s="806">
        <f t="shared" ref="P71:P134" si="13">N71-O71</f>
        <v>-13558.4218666666</v>
      </c>
      <c r="Q71" s="807"/>
      <c r="R71" s="479"/>
      <c r="S71" s="479"/>
    </row>
    <row r="72" ht="15" spans="1:19">
      <c r="A72" s="464"/>
      <c r="B72" s="867" t="s">
        <v>120</v>
      </c>
      <c r="C72" s="1034">
        <f>SUM(C60:C71)</f>
        <v>9270599.75</v>
      </c>
      <c r="D72" s="1035"/>
      <c r="E72" s="1034">
        <f t="shared" ref="D72:P72" si="14">SUM(E60:E71)</f>
        <v>111247197</v>
      </c>
      <c r="F72" s="1034"/>
      <c r="G72" s="1034">
        <f t="shared" si="14"/>
        <v>137703.15</v>
      </c>
      <c r="H72" s="1034">
        <f t="shared" si="14"/>
        <v>7354175.76</v>
      </c>
      <c r="I72" s="1034"/>
      <c r="J72" s="1034">
        <f t="shared" si="14"/>
        <v>7491878.91</v>
      </c>
      <c r="K72" s="1034">
        <f t="shared" si="14"/>
        <v>103755318.09</v>
      </c>
      <c r="L72" s="1034">
        <f t="shared" si="14"/>
        <v>16430122.6674</v>
      </c>
      <c r="M72" s="1034"/>
      <c r="N72" s="1039">
        <f t="shared" si="14"/>
        <v>1369176.88895</v>
      </c>
      <c r="O72" s="1034">
        <f t="shared" si="14"/>
        <v>1399001.00768</v>
      </c>
      <c r="P72" s="1034">
        <f t="shared" si="14"/>
        <v>-29824.1187300026</v>
      </c>
      <c r="Q72" s="807"/>
      <c r="R72" s="479"/>
      <c r="S72" s="479"/>
    </row>
    <row r="73" ht="15" spans="1:19">
      <c r="A73" s="464"/>
      <c r="B73" s="864"/>
      <c r="C73" s="1023"/>
      <c r="D73" s="1021"/>
      <c r="E73" s="1023"/>
      <c r="F73" s="1023"/>
      <c r="G73" s="1023"/>
      <c r="H73" s="938"/>
      <c r="I73" s="938"/>
      <c r="J73" s="1023"/>
      <c r="K73" s="1023"/>
      <c r="L73" s="1023"/>
      <c r="M73" s="474"/>
      <c r="N73" s="1029"/>
      <c r="O73" s="806"/>
      <c r="P73" s="806"/>
      <c r="Q73" s="807"/>
      <c r="R73" s="479"/>
      <c r="S73" s="479"/>
    </row>
    <row r="74" ht="15.5" spans="1:19">
      <c r="A74" s="464"/>
      <c r="B74" s="643" t="s">
        <v>156</v>
      </c>
      <c r="C74" s="1023"/>
      <c r="D74" s="1021"/>
      <c r="E74" s="1023"/>
      <c r="F74" s="1023"/>
      <c r="G74" s="1023"/>
      <c r="H74" s="1024"/>
      <c r="I74" s="938"/>
      <c r="J74" s="1023"/>
      <c r="K74" s="1023"/>
      <c r="L74" s="1023"/>
      <c r="M74" s="474"/>
      <c r="N74" s="1029"/>
      <c r="O74" s="806"/>
      <c r="P74" s="806"/>
      <c r="Q74" s="807"/>
      <c r="R74" s="479"/>
      <c r="S74" s="479"/>
    </row>
    <row r="75" ht="15.5" spans="1:19">
      <c r="A75" s="464">
        <v>1</v>
      </c>
      <c r="B75" s="643" t="s">
        <v>157</v>
      </c>
      <c r="C75" s="1023">
        <v>1947106.41666666</v>
      </c>
      <c r="D75" s="1021">
        <v>12</v>
      </c>
      <c r="E75" s="1023">
        <f t="shared" si="6"/>
        <v>23365276.9999999</v>
      </c>
      <c r="F75" s="1023"/>
      <c r="G75" s="1023">
        <v>0</v>
      </c>
      <c r="H75" s="1023">
        <v>1677222.16</v>
      </c>
      <c r="I75" s="938"/>
      <c r="J75" s="1023">
        <f t="shared" si="9"/>
        <v>1677222.16</v>
      </c>
      <c r="K75" s="1023">
        <f t="shared" si="10"/>
        <v>21688054.8399999</v>
      </c>
      <c r="L75" s="1023">
        <f t="shared" si="11"/>
        <v>3984491.51639998</v>
      </c>
      <c r="M75" s="474">
        <v>12</v>
      </c>
      <c r="N75" s="1029">
        <f t="shared" si="12"/>
        <v>332040.959699999</v>
      </c>
      <c r="O75" s="806">
        <v>325675.544106665</v>
      </c>
      <c r="P75" s="806">
        <f t="shared" si="13"/>
        <v>6365.41559333354</v>
      </c>
      <c r="Q75" s="807"/>
      <c r="R75" s="479"/>
      <c r="S75" s="479"/>
    </row>
    <row r="76" ht="15.5" spans="1:19">
      <c r="A76" s="464">
        <v>2</v>
      </c>
      <c r="B76" s="643" t="s">
        <v>159</v>
      </c>
      <c r="C76" s="1023">
        <v>824477</v>
      </c>
      <c r="D76" s="1021">
        <v>12</v>
      </c>
      <c r="E76" s="1023">
        <f t="shared" si="6"/>
        <v>9893724</v>
      </c>
      <c r="F76" s="1023"/>
      <c r="G76" s="1023">
        <v>0</v>
      </c>
      <c r="H76" s="938">
        <v>714697.92</v>
      </c>
      <c r="I76" s="938"/>
      <c r="J76" s="1023">
        <f t="shared" si="9"/>
        <v>714697.92</v>
      </c>
      <c r="K76" s="1023">
        <f t="shared" si="10"/>
        <v>9179026.08</v>
      </c>
      <c r="L76" s="1023">
        <f t="shared" si="11"/>
        <v>1442224.6944</v>
      </c>
      <c r="M76" s="474">
        <v>12</v>
      </c>
      <c r="N76" s="1029">
        <f t="shared" si="12"/>
        <v>120185.3912</v>
      </c>
      <c r="O76" s="806">
        <v>125531.083946667</v>
      </c>
      <c r="P76" s="806">
        <f t="shared" si="13"/>
        <v>-5345.692746667</v>
      </c>
      <c r="Q76" s="807"/>
      <c r="R76" s="479"/>
      <c r="S76" s="479"/>
    </row>
    <row r="77" ht="15" spans="1:19">
      <c r="A77" s="464"/>
      <c r="B77" s="864"/>
      <c r="C77" s="1025">
        <f>SUM(C75:C76)</f>
        <v>2771583.41666666</v>
      </c>
      <c r="D77" s="1026"/>
      <c r="E77" s="1025">
        <f t="shared" ref="D77:P77" si="15">SUM(E75:E76)</f>
        <v>33259000.9999999</v>
      </c>
      <c r="F77" s="1025"/>
      <c r="G77" s="1025">
        <f t="shared" si="15"/>
        <v>0</v>
      </c>
      <c r="H77" s="1025">
        <f t="shared" si="15"/>
        <v>2391920.08</v>
      </c>
      <c r="I77" s="1025"/>
      <c r="J77" s="1025">
        <f t="shared" si="15"/>
        <v>2391920.08</v>
      </c>
      <c r="K77" s="1025">
        <f t="shared" si="15"/>
        <v>30867080.9199999</v>
      </c>
      <c r="L77" s="1025">
        <f t="shared" si="15"/>
        <v>5426716.21079998</v>
      </c>
      <c r="M77" s="1025"/>
      <c r="N77" s="1030">
        <f t="shared" si="15"/>
        <v>452226.350899999</v>
      </c>
      <c r="O77" s="1025">
        <f t="shared" si="15"/>
        <v>451206.628053332</v>
      </c>
      <c r="P77" s="1025">
        <f t="shared" si="15"/>
        <v>1019.72284666654</v>
      </c>
      <c r="Q77" s="807"/>
      <c r="R77" s="479"/>
      <c r="S77" s="479"/>
    </row>
    <row r="78" ht="15.5" spans="1:19">
      <c r="A78" s="464"/>
      <c r="B78" s="643"/>
      <c r="C78" s="1023"/>
      <c r="D78" s="1021"/>
      <c r="E78" s="1023"/>
      <c r="F78" s="1023"/>
      <c r="G78" s="1023"/>
      <c r="H78" s="1024"/>
      <c r="I78" s="938"/>
      <c r="J78" s="1023"/>
      <c r="K78" s="1023"/>
      <c r="L78" s="1023"/>
      <c r="M78" s="474"/>
      <c r="N78" s="1029"/>
      <c r="O78" s="806"/>
      <c r="P78" s="806"/>
      <c r="Q78" s="807"/>
      <c r="R78" s="479"/>
      <c r="S78" s="479"/>
    </row>
    <row r="79" ht="23.25" customHeight="1" spans="1:19">
      <c r="A79" s="464"/>
      <c r="B79" s="351" t="s">
        <v>162</v>
      </c>
      <c r="C79" s="1023"/>
      <c r="D79" s="1021"/>
      <c r="E79" s="1023"/>
      <c r="F79" s="1023"/>
      <c r="G79" s="1023"/>
      <c r="H79" s="766"/>
      <c r="I79" s="938"/>
      <c r="J79" s="1023"/>
      <c r="K79" s="1023"/>
      <c r="L79" s="1023"/>
      <c r="M79" s="474"/>
      <c r="N79" s="1029"/>
      <c r="O79" s="806"/>
      <c r="P79" s="806"/>
      <c r="Q79" s="807"/>
      <c r="R79" s="479"/>
      <c r="S79" s="479"/>
    </row>
    <row r="80" ht="15.5" spans="1:19">
      <c r="A80" s="464">
        <v>1</v>
      </c>
      <c r="B80" s="643" t="s">
        <v>163</v>
      </c>
      <c r="C80" s="1023">
        <v>1085306.75</v>
      </c>
      <c r="D80" s="1021">
        <v>12</v>
      </c>
      <c r="E80" s="1023">
        <f t="shared" si="6"/>
        <v>13023681</v>
      </c>
      <c r="F80" s="1023"/>
      <c r="G80" s="1023">
        <v>166400.85</v>
      </c>
      <c r="H80" s="1024">
        <v>869094.48</v>
      </c>
      <c r="I80" s="938"/>
      <c r="J80" s="1023">
        <f t="shared" si="9"/>
        <v>1035495.33</v>
      </c>
      <c r="K80" s="1023">
        <f t="shared" si="10"/>
        <v>11988185.67</v>
      </c>
      <c r="L80" s="1023">
        <f t="shared" si="11"/>
        <v>1947873.4206</v>
      </c>
      <c r="M80" s="474">
        <v>12</v>
      </c>
      <c r="N80" s="1029">
        <f t="shared" si="12"/>
        <v>162322.78505</v>
      </c>
      <c r="O80" s="806">
        <v>170477.637386667</v>
      </c>
      <c r="P80" s="806">
        <f t="shared" si="13"/>
        <v>-8154.85233666701</v>
      </c>
      <c r="Q80" s="807"/>
      <c r="R80" s="479"/>
      <c r="S80" s="479"/>
    </row>
    <row r="81" ht="15.5" spans="1:19">
      <c r="A81" s="464">
        <v>2</v>
      </c>
      <c r="B81" s="351" t="s">
        <v>165</v>
      </c>
      <c r="C81" s="1023">
        <v>713911.083333334</v>
      </c>
      <c r="D81" s="1021">
        <v>12</v>
      </c>
      <c r="E81" s="1023">
        <f t="shared" si="6"/>
        <v>8566933.00000001</v>
      </c>
      <c r="F81" s="1023"/>
      <c r="G81" s="1023">
        <v>0</v>
      </c>
      <c r="H81" s="1024">
        <v>550954.640000001</v>
      </c>
      <c r="I81" s="938"/>
      <c r="J81" s="1023">
        <f t="shared" si="9"/>
        <v>550954.640000001</v>
      </c>
      <c r="K81" s="1023">
        <f t="shared" si="10"/>
        <v>8015978.36000001</v>
      </c>
      <c r="L81" s="1023">
        <f t="shared" si="11"/>
        <v>1232876.1048</v>
      </c>
      <c r="M81" s="474">
        <v>12</v>
      </c>
      <c r="N81" s="1029">
        <f t="shared" si="12"/>
        <v>102739.6754</v>
      </c>
      <c r="O81" s="806">
        <v>104140.976426667</v>
      </c>
      <c r="P81" s="806">
        <f t="shared" si="13"/>
        <v>-1401.30102666689</v>
      </c>
      <c r="Q81" s="807"/>
      <c r="R81" s="479"/>
      <c r="S81" s="479"/>
    </row>
    <row r="82" ht="15.5" spans="1:19">
      <c r="A82" s="464">
        <v>3</v>
      </c>
      <c r="B82" s="639" t="s">
        <v>166</v>
      </c>
      <c r="C82" s="1023">
        <v>617472.75</v>
      </c>
      <c r="D82" s="1021">
        <v>12</v>
      </c>
      <c r="E82" s="1023">
        <f t="shared" si="6"/>
        <v>7409673</v>
      </c>
      <c r="F82" s="1023"/>
      <c r="G82" s="1023">
        <v>93501.975</v>
      </c>
      <c r="H82" s="1024">
        <v>477573.84</v>
      </c>
      <c r="I82" s="938"/>
      <c r="J82" s="1023">
        <f t="shared" si="9"/>
        <v>571075.815</v>
      </c>
      <c r="K82" s="1023">
        <f t="shared" si="10"/>
        <v>6838597.185</v>
      </c>
      <c r="L82" s="1023">
        <f t="shared" si="11"/>
        <v>1020947.4933</v>
      </c>
      <c r="M82" s="474">
        <v>12</v>
      </c>
      <c r="N82" s="1029">
        <f t="shared" si="12"/>
        <v>85078.957775</v>
      </c>
      <c r="O82" s="806">
        <v>86996.6871466667</v>
      </c>
      <c r="P82" s="806">
        <f t="shared" si="13"/>
        <v>-1917.72937166672</v>
      </c>
      <c r="Q82" s="807"/>
      <c r="R82" s="479"/>
      <c r="S82" s="479"/>
    </row>
    <row r="83" ht="15.5" spans="1:19">
      <c r="A83" s="464">
        <v>4</v>
      </c>
      <c r="B83" s="643" t="s">
        <v>168</v>
      </c>
      <c r="C83" s="1023">
        <v>617472.75</v>
      </c>
      <c r="D83" s="1021">
        <v>12</v>
      </c>
      <c r="E83" s="1023">
        <f t="shared" si="6"/>
        <v>7409673</v>
      </c>
      <c r="F83" s="1023"/>
      <c r="G83" s="1023">
        <v>93501.975</v>
      </c>
      <c r="H83" s="1024">
        <v>477573.84</v>
      </c>
      <c r="I83" s="938"/>
      <c r="J83" s="1023">
        <f t="shared" si="9"/>
        <v>571075.815</v>
      </c>
      <c r="K83" s="1023">
        <f t="shared" si="10"/>
        <v>6838597.185</v>
      </c>
      <c r="L83" s="1023">
        <f t="shared" si="11"/>
        <v>1020947.4933</v>
      </c>
      <c r="M83" s="474">
        <v>12</v>
      </c>
      <c r="N83" s="1029">
        <f t="shared" si="12"/>
        <v>85078.957775</v>
      </c>
      <c r="O83" s="806">
        <v>86996.6871466667</v>
      </c>
      <c r="P83" s="806">
        <f t="shared" si="13"/>
        <v>-1917.72937166672</v>
      </c>
      <c r="Q83" s="807"/>
      <c r="R83" s="479"/>
      <c r="S83" s="479"/>
    </row>
    <row r="84" ht="15.5" spans="1:19">
      <c r="A84" s="464">
        <v>5</v>
      </c>
      <c r="B84" s="643" t="s">
        <v>169</v>
      </c>
      <c r="C84" s="1023">
        <v>592662.666666667</v>
      </c>
      <c r="D84" s="1021">
        <v>12</v>
      </c>
      <c r="E84" s="1023">
        <f t="shared" si="6"/>
        <v>7111952</v>
      </c>
      <c r="F84" s="1023"/>
      <c r="G84" s="1023">
        <v>90863.6000000001</v>
      </c>
      <c r="H84" s="1024">
        <v>463356.16</v>
      </c>
      <c r="I84" s="938"/>
      <c r="J84" s="1023">
        <f t="shared" si="9"/>
        <v>554219.76</v>
      </c>
      <c r="K84" s="1023">
        <f t="shared" si="10"/>
        <v>6557732.24</v>
      </c>
      <c r="L84" s="1023">
        <f t="shared" si="11"/>
        <v>970391.803200001</v>
      </c>
      <c r="M84" s="474">
        <v>12</v>
      </c>
      <c r="N84" s="1029">
        <f t="shared" si="12"/>
        <v>80865.9836000001</v>
      </c>
      <c r="O84" s="806">
        <v>82600.4740266667</v>
      </c>
      <c r="P84" s="806">
        <f t="shared" si="13"/>
        <v>-1734.49042666666</v>
      </c>
      <c r="Q84" s="807"/>
      <c r="R84" s="479"/>
      <c r="S84" s="479"/>
    </row>
    <row r="85" ht="15.5" spans="1:19">
      <c r="A85" s="464">
        <v>6</v>
      </c>
      <c r="B85" s="643" t="s">
        <v>171</v>
      </c>
      <c r="C85" s="1023">
        <v>592662.666666667</v>
      </c>
      <c r="D85" s="1021">
        <v>12</v>
      </c>
      <c r="E85" s="1023">
        <f t="shared" si="6"/>
        <v>7111952</v>
      </c>
      <c r="F85" s="1023"/>
      <c r="G85" s="1023">
        <v>0</v>
      </c>
      <c r="H85" s="1024">
        <v>463356.16</v>
      </c>
      <c r="I85" s="938"/>
      <c r="J85" s="1023">
        <f t="shared" si="9"/>
        <v>463356.16</v>
      </c>
      <c r="K85" s="1023">
        <f t="shared" si="10"/>
        <v>6648595.84</v>
      </c>
      <c r="L85" s="1023">
        <f t="shared" si="11"/>
        <v>986747.251200001</v>
      </c>
      <c r="M85" s="474">
        <v>12</v>
      </c>
      <c r="N85" s="1029">
        <f t="shared" si="12"/>
        <v>82228.9376</v>
      </c>
      <c r="O85" s="806">
        <v>82600.4740266667</v>
      </c>
      <c r="P85" s="806">
        <f t="shared" si="13"/>
        <v>-371.536426666658</v>
      </c>
      <c r="Q85" s="807"/>
      <c r="R85" s="479"/>
      <c r="S85" s="479"/>
    </row>
    <row r="86" ht="15.5" spans="1:19">
      <c r="A86" s="464">
        <v>7</v>
      </c>
      <c r="B86" s="643" t="s">
        <v>172</v>
      </c>
      <c r="C86" s="1023">
        <v>592662.666666667</v>
      </c>
      <c r="D86" s="1021">
        <v>12</v>
      </c>
      <c r="E86" s="1023">
        <f t="shared" si="6"/>
        <v>7111952</v>
      </c>
      <c r="F86" s="1023"/>
      <c r="G86" s="1023">
        <v>0</v>
      </c>
      <c r="H86" s="1024">
        <v>463356.16</v>
      </c>
      <c r="I86" s="938"/>
      <c r="J86" s="1023">
        <f t="shared" si="9"/>
        <v>463356.16</v>
      </c>
      <c r="K86" s="1023">
        <f t="shared" si="10"/>
        <v>6648595.84</v>
      </c>
      <c r="L86" s="1023">
        <f t="shared" si="11"/>
        <v>986747.251200001</v>
      </c>
      <c r="M86" s="474">
        <v>12</v>
      </c>
      <c r="N86" s="1029">
        <f t="shared" si="12"/>
        <v>82228.9376</v>
      </c>
      <c r="O86" s="806">
        <v>82600.4740266667</v>
      </c>
      <c r="P86" s="806">
        <f t="shared" si="13"/>
        <v>-371.536426666658</v>
      </c>
      <c r="Q86" s="807"/>
      <c r="R86" s="479"/>
      <c r="S86" s="479"/>
    </row>
    <row r="87" ht="15.5" spans="1:19">
      <c r="A87" s="464">
        <v>8</v>
      </c>
      <c r="B87" s="643" t="s">
        <v>173</v>
      </c>
      <c r="C87" s="1023">
        <v>602846.583333333</v>
      </c>
      <c r="D87" s="1021">
        <v>12</v>
      </c>
      <c r="E87" s="1023">
        <f t="shared" si="6"/>
        <v>7234159</v>
      </c>
      <c r="F87" s="1023"/>
      <c r="G87" s="1023">
        <v>0</v>
      </c>
      <c r="H87" s="1024">
        <v>463532.72</v>
      </c>
      <c r="I87" s="938"/>
      <c r="J87" s="1023">
        <f t="shared" si="9"/>
        <v>463532.72</v>
      </c>
      <c r="K87" s="1023">
        <f t="shared" si="10"/>
        <v>6770626.28</v>
      </c>
      <c r="L87" s="1023">
        <f t="shared" si="11"/>
        <v>1008712.7304</v>
      </c>
      <c r="M87" s="474">
        <v>12</v>
      </c>
      <c r="N87" s="1029">
        <f t="shared" si="12"/>
        <v>84059.3941999999</v>
      </c>
      <c r="O87" s="806">
        <v>86996.6871466667</v>
      </c>
      <c r="P87" s="806">
        <f t="shared" si="13"/>
        <v>-2937.29294666677</v>
      </c>
      <c r="Q87" s="807"/>
      <c r="R87" s="479"/>
      <c r="S87" s="479"/>
    </row>
    <row r="88" ht="15.5" spans="1:19">
      <c r="A88" s="464">
        <v>9</v>
      </c>
      <c r="B88" s="643" t="s">
        <v>175</v>
      </c>
      <c r="C88" s="1023">
        <v>564993.583333333</v>
      </c>
      <c r="D88" s="1021">
        <v>12</v>
      </c>
      <c r="E88" s="1023">
        <f t="shared" si="6"/>
        <v>6779923</v>
      </c>
      <c r="F88" s="1023"/>
      <c r="G88" s="1023">
        <v>85934.1249999999</v>
      </c>
      <c r="H88" s="1024">
        <v>436793.84</v>
      </c>
      <c r="I88" s="938"/>
      <c r="J88" s="1023">
        <f t="shared" si="9"/>
        <v>522727.965</v>
      </c>
      <c r="K88" s="1023">
        <f t="shared" si="10"/>
        <v>6257195.035</v>
      </c>
      <c r="L88" s="1023">
        <f t="shared" si="11"/>
        <v>916295.106299999</v>
      </c>
      <c r="M88" s="474">
        <v>12</v>
      </c>
      <c r="N88" s="1029">
        <f t="shared" si="12"/>
        <v>76357.9255249999</v>
      </c>
      <c r="O88" s="806">
        <v>77712.9924266667</v>
      </c>
      <c r="P88" s="806">
        <f t="shared" si="13"/>
        <v>-1355.06690166675</v>
      </c>
      <c r="Q88" s="807"/>
      <c r="R88" s="479"/>
      <c r="S88" s="479"/>
    </row>
    <row r="89" ht="15.5" spans="1:19">
      <c r="A89" s="464">
        <v>10</v>
      </c>
      <c r="B89" s="643" t="s">
        <v>177</v>
      </c>
      <c r="C89" s="1023">
        <v>499131.166666667</v>
      </c>
      <c r="D89" s="1021">
        <v>12</v>
      </c>
      <c r="E89" s="1023">
        <f t="shared" si="6"/>
        <v>5989574</v>
      </c>
      <c r="F89" s="1023"/>
      <c r="G89" s="1023">
        <v>75440.3750000001</v>
      </c>
      <c r="H89" s="1024">
        <v>383165.92</v>
      </c>
      <c r="I89" s="938"/>
      <c r="J89" s="1023">
        <f t="shared" si="9"/>
        <v>458606.295</v>
      </c>
      <c r="K89" s="1023">
        <f t="shared" si="10"/>
        <v>5530967.705</v>
      </c>
      <c r="L89" s="1023">
        <f t="shared" si="11"/>
        <v>785574.186900001</v>
      </c>
      <c r="M89" s="474">
        <v>12</v>
      </c>
      <c r="N89" s="1029">
        <f t="shared" si="12"/>
        <v>65464.5155750001</v>
      </c>
      <c r="O89" s="806">
        <v>65598.6386666668</v>
      </c>
      <c r="P89" s="806">
        <f t="shared" si="13"/>
        <v>-134.123091666741</v>
      </c>
      <c r="Q89" s="807"/>
      <c r="R89" s="479"/>
      <c r="S89" s="479"/>
    </row>
    <row r="90" ht="20" customHeight="1" spans="1:19">
      <c r="A90" s="464">
        <v>11</v>
      </c>
      <c r="B90" s="643" t="s">
        <v>178</v>
      </c>
      <c r="C90" s="1023">
        <v>438711.666666667</v>
      </c>
      <c r="D90" s="1021">
        <v>12</v>
      </c>
      <c r="E90" s="1023">
        <f t="shared" si="6"/>
        <v>5264540</v>
      </c>
      <c r="F90" s="1023"/>
      <c r="G90" s="1023">
        <v>0</v>
      </c>
      <c r="H90" s="938">
        <v>325163.2</v>
      </c>
      <c r="I90" s="938"/>
      <c r="J90" s="1023">
        <f t="shared" si="9"/>
        <v>325163.2</v>
      </c>
      <c r="K90" s="1023">
        <f t="shared" si="10"/>
        <v>4939376.8</v>
      </c>
      <c r="L90" s="1023">
        <f t="shared" si="11"/>
        <v>679087.824000001</v>
      </c>
      <c r="M90" s="474">
        <v>12</v>
      </c>
      <c r="N90" s="1029">
        <f t="shared" si="12"/>
        <v>56590.6520000001</v>
      </c>
      <c r="O90" s="806">
        <v>56229.7738666667</v>
      </c>
      <c r="P90" s="806">
        <f t="shared" si="13"/>
        <v>360.878133333354</v>
      </c>
      <c r="Q90" s="807"/>
      <c r="R90" s="479"/>
      <c r="S90" s="479"/>
    </row>
    <row r="91" ht="15" spans="1:19">
      <c r="A91" s="464"/>
      <c r="B91" s="864"/>
      <c r="C91" s="1025">
        <f>SUM(C80:C90)</f>
        <v>6917834.33333333</v>
      </c>
      <c r="D91" s="1026"/>
      <c r="E91" s="1025">
        <f t="shared" ref="D91:P91" si="16">SUM(E80:E90)</f>
        <v>83014012</v>
      </c>
      <c r="F91" s="1025"/>
      <c r="G91" s="1025">
        <f t="shared" si="16"/>
        <v>605642.9</v>
      </c>
      <c r="H91" s="1025">
        <f t="shared" si="16"/>
        <v>5373920.96</v>
      </c>
      <c r="I91" s="1025"/>
      <c r="J91" s="1025">
        <f t="shared" si="16"/>
        <v>5979563.86</v>
      </c>
      <c r="K91" s="1025">
        <f t="shared" si="16"/>
        <v>77034448.14</v>
      </c>
      <c r="L91" s="1025">
        <f t="shared" si="16"/>
        <v>11556200.6652</v>
      </c>
      <c r="M91" s="1025"/>
      <c r="N91" s="1030">
        <f t="shared" si="16"/>
        <v>963016.7221</v>
      </c>
      <c r="O91" s="1025">
        <f t="shared" si="16"/>
        <v>982951.502293334</v>
      </c>
      <c r="P91" s="1025">
        <f t="shared" si="16"/>
        <v>-19934.7801933342</v>
      </c>
      <c r="Q91" s="807"/>
      <c r="R91" s="479"/>
      <c r="S91" s="479"/>
    </row>
    <row r="92" ht="15.5" spans="1:19">
      <c r="A92" s="464"/>
      <c r="B92" s="643"/>
      <c r="C92" s="1023"/>
      <c r="D92" s="1021"/>
      <c r="E92" s="1023"/>
      <c r="F92" s="1023"/>
      <c r="G92" s="1023"/>
      <c r="H92" s="1024"/>
      <c r="I92" s="938"/>
      <c r="J92" s="1023"/>
      <c r="K92" s="1023"/>
      <c r="L92" s="1023"/>
      <c r="M92" s="474"/>
      <c r="N92" s="1029"/>
      <c r="O92" s="806"/>
      <c r="P92" s="806"/>
      <c r="Q92" s="807"/>
      <c r="R92" s="479"/>
      <c r="S92" s="479"/>
    </row>
    <row r="93" ht="15.5" spans="1:19">
      <c r="A93" s="464"/>
      <c r="B93" s="643" t="s">
        <v>180</v>
      </c>
      <c r="C93" s="1023"/>
      <c r="D93" s="1021"/>
      <c r="E93" s="1023"/>
      <c r="F93" s="1023"/>
      <c r="G93" s="1023"/>
      <c r="H93" s="1024"/>
      <c r="I93" s="938"/>
      <c r="J93" s="1023"/>
      <c r="K93" s="1023"/>
      <c r="L93" s="1023"/>
      <c r="M93" s="474"/>
      <c r="N93" s="1029"/>
      <c r="O93" s="806"/>
      <c r="P93" s="806"/>
      <c r="Q93" s="807"/>
      <c r="R93" s="479"/>
      <c r="S93" s="479"/>
    </row>
    <row r="94" ht="15.5" spans="1:19">
      <c r="A94" s="464">
        <v>1</v>
      </c>
      <c r="B94" s="643" t="s">
        <v>181</v>
      </c>
      <c r="C94" s="1023">
        <v>1947106.41666666</v>
      </c>
      <c r="D94" s="1021">
        <v>12</v>
      </c>
      <c r="E94" s="1023">
        <f t="shared" si="6"/>
        <v>23365276.9999999</v>
      </c>
      <c r="F94" s="1023"/>
      <c r="G94" s="1023">
        <v>0</v>
      </c>
      <c r="H94" s="1024">
        <v>1677222.15999999</v>
      </c>
      <c r="I94" s="938"/>
      <c r="J94" s="1023">
        <f t="shared" si="9"/>
        <v>1677222.15999999</v>
      </c>
      <c r="K94" s="1023">
        <f t="shared" si="10"/>
        <v>21688054.8399999</v>
      </c>
      <c r="L94" s="1023">
        <f t="shared" si="11"/>
        <v>3984491.51639999</v>
      </c>
      <c r="M94" s="474">
        <v>12</v>
      </c>
      <c r="N94" s="1029">
        <f t="shared" si="12"/>
        <v>332040.959699999</v>
      </c>
      <c r="O94" s="806">
        <v>325675.544106665</v>
      </c>
      <c r="P94" s="806">
        <f t="shared" si="13"/>
        <v>6365.41559333378</v>
      </c>
      <c r="Q94" s="807"/>
      <c r="R94" s="479"/>
      <c r="S94" s="479"/>
    </row>
    <row r="95" ht="15.5" spans="1:19">
      <c r="A95" s="464">
        <v>2</v>
      </c>
      <c r="B95" s="643" t="s">
        <v>183</v>
      </c>
      <c r="C95" s="1023">
        <v>882595.5</v>
      </c>
      <c r="D95" s="1021">
        <v>12</v>
      </c>
      <c r="E95" s="1023">
        <f t="shared" si="6"/>
        <v>10591146</v>
      </c>
      <c r="F95" s="1023"/>
      <c r="G95" s="1023">
        <v>0</v>
      </c>
      <c r="H95" s="1024">
        <v>693691.68</v>
      </c>
      <c r="I95" s="938"/>
      <c r="J95" s="1023">
        <f t="shared" si="9"/>
        <v>693691.68</v>
      </c>
      <c r="K95" s="1023">
        <f t="shared" si="10"/>
        <v>9897454.32</v>
      </c>
      <c r="L95" s="1023">
        <f t="shared" si="11"/>
        <v>1571541.7776</v>
      </c>
      <c r="M95" s="474">
        <v>12</v>
      </c>
      <c r="N95" s="1029">
        <f t="shared" si="12"/>
        <v>130961.8148</v>
      </c>
      <c r="O95" s="806">
        <v>137025.935786667</v>
      </c>
      <c r="P95" s="806">
        <f t="shared" si="13"/>
        <v>-6064.120986667</v>
      </c>
      <c r="Q95" s="807"/>
      <c r="R95" s="479"/>
      <c r="S95" s="479"/>
    </row>
    <row r="96" ht="15.5" spans="1:19">
      <c r="A96" s="464">
        <v>3</v>
      </c>
      <c r="B96" s="643" t="s">
        <v>185</v>
      </c>
      <c r="C96" s="1023">
        <v>882595.5</v>
      </c>
      <c r="D96" s="1021">
        <v>12</v>
      </c>
      <c r="E96" s="1023">
        <f t="shared" si="6"/>
        <v>10591146</v>
      </c>
      <c r="F96" s="1023"/>
      <c r="G96" s="1023">
        <v>0</v>
      </c>
      <c r="H96" s="1024">
        <v>693691.68</v>
      </c>
      <c r="I96" s="938"/>
      <c r="J96" s="1023">
        <f t="shared" si="9"/>
        <v>693691.68</v>
      </c>
      <c r="K96" s="1023">
        <f t="shared" si="10"/>
        <v>9897454.32</v>
      </c>
      <c r="L96" s="1023">
        <f t="shared" si="11"/>
        <v>1571541.7776</v>
      </c>
      <c r="M96" s="474">
        <v>12</v>
      </c>
      <c r="N96" s="1029">
        <f t="shared" si="12"/>
        <v>130961.8148</v>
      </c>
      <c r="O96" s="806">
        <v>137025.935786667</v>
      </c>
      <c r="P96" s="806">
        <f t="shared" si="13"/>
        <v>-6064.120986667</v>
      </c>
      <c r="Q96" s="807"/>
      <c r="R96" s="479"/>
      <c r="S96" s="479"/>
    </row>
    <row r="97" ht="24.75" customHeight="1" spans="1:19">
      <c r="A97" s="464">
        <v>4</v>
      </c>
      <c r="B97" s="643" t="s">
        <v>187</v>
      </c>
      <c r="C97" s="1023">
        <v>729657</v>
      </c>
      <c r="D97" s="1021">
        <v>12</v>
      </c>
      <c r="E97" s="1023">
        <f t="shared" si="6"/>
        <v>8755884</v>
      </c>
      <c r="F97" s="1023"/>
      <c r="G97" s="1023">
        <v>109925.25</v>
      </c>
      <c r="H97" s="1024">
        <v>566070.72</v>
      </c>
      <c r="I97" s="938"/>
      <c r="J97" s="1023">
        <f t="shared" si="9"/>
        <v>675995.97</v>
      </c>
      <c r="K97" s="1023">
        <f t="shared" si="10"/>
        <v>8079888.03</v>
      </c>
      <c r="L97" s="1023">
        <f t="shared" si="11"/>
        <v>1244379.8454</v>
      </c>
      <c r="M97" s="474">
        <v>12</v>
      </c>
      <c r="N97" s="1029">
        <f t="shared" si="12"/>
        <v>103698.32045</v>
      </c>
      <c r="O97" s="806">
        <v>105208.400426667</v>
      </c>
      <c r="P97" s="806">
        <f t="shared" si="13"/>
        <v>-1510.079976667</v>
      </c>
      <c r="Q97" s="807"/>
      <c r="R97" s="479"/>
      <c r="S97" s="479"/>
    </row>
    <row r="98" ht="24.75" customHeight="1" spans="1:19">
      <c r="A98" s="464">
        <v>5</v>
      </c>
      <c r="B98" s="643" t="s">
        <v>190</v>
      </c>
      <c r="C98" s="1023">
        <v>617472.75</v>
      </c>
      <c r="D98" s="1021">
        <v>12</v>
      </c>
      <c r="E98" s="1023">
        <f t="shared" si="6"/>
        <v>7409673</v>
      </c>
      <c r="F98" s="1023"/>
      <c r="G98" s="1023">
        <v>93501.975</v>
      </c>
      <c r="H98" s="1024">
        <v>477573.84</v>
      </c>
      <c r="I98" s="938"/>
      <c r="J98" s="1023">
        <f t="shared" si="9"/>
        <v>571075.815</v>
      </c>
      <c r="K98" s="1023">
        <f t="shared" si="10"/>
        <v>6838597.185</v>
      </c>
      <c r="L98" s="1023">
        <f t="shared" si="11"/>
        <v>1020947.4933</v>
      </c>
      <c r="M98" s="474">
        <v>12</v>
      </c>
      <c r="N98" s="1029">
        <f t="shared" si="12"/>
        <v>85078.957775</v>
      </c>
      <c r="O98" s="806">
        <v>86996.6871466667</v>
      </c>
      <c r="P98" s="806">
        <f t="shared" si="13"/>
        <v>-1917.72937166672</v>
      </c>
      <c r="Q98" s="807"/>
      <c r="R98" s="479"/>
      <c r="S98" s="479"/>
    </row>
    <row r="99" ht="24.75" customHeight="1" spans="1:19">
      <c r="A99" s="464">
        <v>6</v>
      </c>
      <c r="B99" s="643" t="s">
        <v>192</v>
      </c>
      <c r="C99" s="1023">
        <v>617472.75</v>
      </c>
      <c r="D99" s="1021">
        <v>12</v>
      </c>
      <c r="E99" s="1023">
        <f t="shared" si="6"/>
        <v>7409673</v>
      </c>
      <c r="F99" s="1023"/>
      <c r="G99" s="1023">
        <v>0</v>
      </c>
      <c r="H99" s="1024">
        <v>477573.84</v>
      </c>
      <c r="I99" s="938"/>
      <c r="J99" s="1023">
        <f t="shared" si="9"/>
        <v>477573.84</v>
      </c>
      <c r="K99" s="1023">
        <f t="shared" si="10"/>
        <v>6932099.16</v>
      </c>
      <c r="L99" s="1023">
        <f t="shared" si="11"/>
        <v>1037777.8488</v>
      </c>
      <c r="M99" s="474">
        <v>12</v>
      </c>
      <c r="N99" s="1029">
        <f t="shared" si="12"/>
        <v>86481.4874</v>
      </c>
      <c r="O99" s="806">
        <v>86996.6871466667</v>
      </c>
      <c r="P99" s="806">
        <f t="shared" si="13"/>
        <v>-515.199746666709</v>
      </c>
      <c r="Q99" s="807"/>
      <c r="R99" s="479"/>
      <c r="S99" s="479"/>
    </row>
    <row r="100" ht="24.75" customHeight="1" spans="1:19">
      <c r="A100" s="464">
        <v>7</v>
      </c>
      <c r="B100" s="643" t="s">
        <v>194</v>
      </c>
      <c r="C100" s="1023">
        <v>578828.166666667</v>
      </c>
      <c r="D100" s="1021">
        <v>12</v>
      </c>
      <c r="E100" s="1023">
        <f t="shared" si="6"/>
        <v>6945938</v>
      </c>
      <c r="F100" s="1023"/>
      <c r="G100" s="1023">
        <v>88398.8750000001</v>
      </c>
      <c r="H100" s="1024">
        <v>450075.04</v>
      </c>
      <c r="I100" s="938"/>
      <c r="J100" s="1023">
        <f t="shared" si="9"/>
        <v>538473.915</v>
      </c>
      <c r="K100" s="1023">
        <f t="shared" si="10"/>
        <v>6407464.085</v>
      </c>
      <c r="L100" s="1023">
        <f t="shared" si="11"/>
        <v>943343.535300001</v>
      </c>
      <c r="M100" s="474">
        <v>12</v>
      </c>
      <c r="N100" s="1029">
        <f t="shared" si="12"/>
        <v>78611.9612750001</v>
      </c>
      <c r="O100" s="806">
        <v>80156.7332266666</v>
      </c>
      <c r="P100" s="806">
        <f t="shared" si="13"/>
        <v>-1544.77195166655</v>
      </c>
      <c r="Q100" s="807"/>
      <c r="R100" s="479"/>
      <c r="S100" s="479"/>
    </row>
    <row r="101" ht="24.75" customHeight="1" spans="1:19">
      <c r="A101" s="464">
        <v>8</v>
      </c>
      <c r="B101" s="643" t="s">
        <v>196</v>
      </c>
      <c r="C101" s="1023">
        <v>481140.666666666</v>
      </c>
      <c r="D101" s="1021">
        <v>12</v>
      </c>
      <c r="E101" s="1023">
        <f t="shared" ref="E101:E164" si="17">C101*D101</f>
        <v>5773687.99999999</v>
      </c>
      <c r="F101" s="1023"/>
      <c r="G101" s="1023">
        <v>0</v>
      </c>
      <c r="H101" s="1024">
        <v>365895.039999999</v>
      </c>
      <c r="I101" s="938"/>
      <c r="J101" s="1023">
        <f t="shared" si="9"/>
        <v>365895.039999999</v>
      </c>
      <c r="K101" s="1023">
        <f t="shared" si="10"/>
        <v>5407792.95999999</v>
      </c>
      <c r="L101" s="1023">
        <f t="shared" si="11"/>
        <v>763402.732799999</v>
      </c>
      <c r="M101" s="474">
        <v>12</v>
      </c>
      <c r="N101" s="1029">
        <f t="shared" si="12"/>
        <v>63616.8943999999</v>
      </c>
      <c r="O101" s="806">
        <v>63602.4183466667</v>
      </c>
      <c r="P101" s="806">
        <f t="shared" si="13"/>
        <v>14.4760533331937</v>
      </c>
      <c r="Q101" s="807"/>
      <c r="R101" s="479"/>
      <c r="S101" s="479"/>
    </row>
    <row r="102" ht="24.75" customHeight="1" spans="1:19">
      <c r="A102" s="464">
        <v>9</v>
      </c>
      <c r="B102" s="643" t="s">
        <v>198</v>
      </c>
      <c r="C102" s="1023">
        <v>447016.166666666</v>
      </c>
      <c r="D102" s="1021">
        <v>12</v>
      </c>
      <c r="E102" s="1023">
        <f t="shared" si="17"/>
        <v>5364193.99999999</v>
      </c>
      <c r="F102" s="1023"/>
      <c r="G102" s="1023">
        <v>66802.3749999999</v>
      </c>
      <c r="H102" s="1024">
        <v>333135.519999999</v>
      </c>
      <c r="I102" s="938"/>
      <c r="J102" s="1023">
        <f t="shared" si="9"/>
        <v>399937.894999999</v>
      </c>
      <c r="K102" s="1023">
        <f t="shared" si="10"/>
        <v>4964256.10499999</v>
      </c>
      <c r="L102" s="1023">
        <f t="shared" si="11"/>
        <v>683566.098899999</v>
      </c>
      <c r="M102" s="474">
        <v>12</v>
      </c>
      <c r="N102" s="1029">
        <f t="shared" si="12"/>
        <v>56963.8415749999</v>
      </c>
      <c r="O102" s="806">
        <v>59163.6023466665</v>
      </c>
      <c r="P102" s="806">
        <f t="shared" si="13"/>
        <v>-2199.76077166661</v>
      </c>
      <c r="Q102" s="807"/>
      <c r="R102" s="479"/>
      <c r="S102" s="479"/>
    </row>
    <row r="103" ht="15.5" spans="1:19">
      <c r="A103" s="464">
        <v>10</v>
      </c>
      <c r="B103" s="643" t="s">
        <v>199</v>
      </c>
      <c r="C103" s="1023">
        <v>438711.666666667</v>
      </c>
      <c r="D103" s="1021">
        <v>12</v>
      </c>
      <c r="E103" s="1023">
        <f t="shared" si="17"/>
        <v>5264540</v>
      </c>
      <c r="F103" s="1023"/>
      <c r="G103" s="1023">
        <v>0</v>
      </c>
      <c r="H103" s="938">
        <v>325163.2</v>
      </c>
      <c r="I103" s="938"/>
      <c r="J103" s="1023">
        <f t="shared" si="9"/>
        <v>325163.2</v>
      </c>
      <c r="K103" s="1023">
        <f t="shared" si="10"/>
        <v>4939376.8</v>
      </c>
      <c r="L103" s="1023">
        <f t="shared" si="11"/>
        <v>679087.824000001</v>
      </c>
      <c r="M103" s="474">
        <v>12</v>
      </c>
      <c r="N103" s="1029">
        <f t="shared" si="12"/>
        <v>56590.6520000001</v>
      </c>
      <c r="O103" s="806">
        <v>56229.7738666667</v>
      </c>
      <c r="P103" s="806">
        <f t="shared" si="13"/>
        <v>360.878133333354</v>
      </c>
      <c r="Q103" s="807"/>
      <c r="R103" s="479"/>
      <c r="S103" s="479"/>
    </row>
    <row r="104" ht="15.5" spans="1:19">
      <c r="A104" s="464">
        <v>11</v>
      </c>
      <c r="B104" s="643" t="s">
        <v>200</v>
      </c>
      <c r="C104" s="1023">
        <v>408920.666666667</v>
      </c>
      <c r="D104" s="1021">
        <v>12</v>
      </c>
      <c r="E104" s="1023">
        <f t="shared" si="17"/>
        <v>4907048</v>
      </c>
      <c r="F104" s="807"/>
      <c r="G104" s="807">
        <v>0</v>
      </c>
      <c r="H104" s="807">
        <v>296563.84</v>
      </c>
      <c r="I104" s="807"/>
      <c r="J104" s="1023">
        <f t="shared" si="9"/>
        <v>296563.84</v>
      </c>
      <c r="K104" s="1023">
        <f t="shared" si="10"/>
        <v>4610484.16</v>
      </c>
      <c r="L104" s="1023">
        <f t="shared" si="11"/>
        <v>619887.148800001</v>
      </c>
      <c r="M104" s="474">
        <v>12</v>
      </c>
      <c r="N104" s="1029">
        <f t="shared" si="12"/>
        <v>51657.2624000001</v>
      </c>
      <c r="O104" s="806">
        <v>51196.1815466667</v>
      </c>
      <c r="P104" s="806">
        <f t="shared" si="13"/>
        <v>461.080853333355</v>
      </c>
      <c r="Q104" s="807"/>
      <c r="R104" s="479"/>
      <c r="S104" s="479"/>
    </row>
    <row r="105" ht="15.5" spans="1:19">
      <c r="A105" s="464"/>
      <c r="B105" s="643" t="s">
        <v>120</v>
      </c>
      <c r="C105" s="1025">
        <f>SUM(C94:C104)</f>
        <v>8031517.24999999</v>
      </c>
      <c r="D105" s="1026"/>
      <c r="E105" s="1025">
        <f t="shared" ref="D105:P105" si="18">SUM(E94:E104)</f>
        <v>96378206.9999999</v>
      </c>
      <c r="F105" s="1025"/>
      <c r="G105" s="1025">
        <f t="shared" si="18"/>
        <v>358628.475</v>
      </c>
      <c r="H105" s="1025">
        <f t="shared" si="18"/>
        <v>6356656.55999999</v>
      </c>
      <c r="I105" s="1025"/>
      <c r="J105" s="1025">
        <f t="shared" si="18"/>
        <v>6715285.03499999</v>
      </c>
      <c r="K105" s="1025">
        <f t="shared" si="18"/>
        <v>89662921.9649999</v>
      </c>
      <c r="L105" s="1025">
        <f t="shared" si="18"/>
        <v>14119967.5989</v>
      </c>
      <c r="M105" s="1025"/>
      <c r="N105" s="1030">
        <f t="shared" si="18"/>
        <v>1176663.966575</v>
      </c>
      <c r="O105" s="1025">
        <f t="shared" si="18"/>
        <v>1189277.89973333</v>
      </c>
      <c r="P105" s="1025">
        <f t="shared" si="18"/>
        <v>-12613.9331583339</v>
      </c>
      <c r="Q105" s="807"/>
      <c r="R105" s="479"/>
      <c r="S105" s="479"/>
    </row>
    <row r="106" ht="15.5" spans="1:19">
      <c r="A106" s="464"/>
      <c r="B106" s="643"/>
      <c r="C106" s="1023"/>
      <c r="D106" s="1021"/>
      <c r="E106" s="1023"/>
      <c r="F106" s="1023"/>
      <c r="G106" s="1023"/>
      <c r="H106" s="1024"/>
      <c r="I106" s="938"/>
      <c r="J106" s="1023"/>
      <c r="K106" s="1023"/>
      <c r="L106" s="1023"/>
      <c r="M106" s="474"/>
      <c r="N106" s="1029"/>
      <c r="O106" s="1023"/>
      <c r="P106" s="806"/>
      <c r="Q106" s="807"/>
      <c r="R106" s="479"/>
      <c r="S106" s="479"/>
    </row>
    <row r="107" ht="15.5" spans="1:19">
      <c r="A107" s="464"/>
      <c r="B107" s="643" t="s">
        <v>202</v>
      </c>
      <c r="C107" s="1023"/>
      <c r="D107" s="1021"/>
      <c r="E107" s="1023"/>
      <c r="F107" s="1023"/>
      <c r="G107" s="1023"/>
      <c r="H107" s="1024"/>
      <c r="I107" s="938"/>
      <c r="J107" s="1023"/>
      <c r="K107" s="1023"/>
      <c r="L107" s="1023"/>
      <c r="M107" s="474"/>
      <c r="N107" s="1029"/>
      <c r="O107" s="1023"/>
      <c r="P107" s="806"/>
      <c r="Q107" s="807"/>
      <c r="R107" s="479"/>
      <c r="S107" s="479"/>
    </row>
    <row r="108" ht="15.5" spans="1:19">
      <c r="A108" s="464">
        <v>1</v>
      </c>
      <c r="B108" s="643" t="s">
        <v>203</v>
      </c>
      <c r="C108" s="1023">
        <v>1897359.33333333</v>
      </c>
      <c r="D108" s="1021">
        <v>12</v>
      </c>
      <c r="E108" s="1023">
        <f t="shared" si="17"/>
        <v>22768312</v>
      </c>
      <c r="F108" s="1023"/>
      <c r="G108" s="1023">
        <v>316881.849999999</v>
      </c>
      <c r="H108" s="1024">
        <v>1629464.96</v>
      </c>
      <c r="I108" s="938"/>
      <c r="J108" s="1023">
        <f t="shared" si="9"/>
        <v>1946346.81</v>
      </c>
      <c r="K108" s="1023">
        <f t="shared" si="10"/>
        <v>20821965.19</v>
      </c>
      <c r="L108" s="1023">
        <f t="shared" si="11"/>
        <v>3802612.68989999</v>
      </c>
      <c r="M108" s="474">
        <v>12</v>
      </c>
      <c r="N108" s="1029">
        <f t="shared" si="12"/>
        <v>316884.390824999</v>
      </c>
      <c r="O108" s="1023">
        <v>303177.162346667</v>
      </c>
      <c r="P108" s="806">
        <f t="shared" si="13"/>
        <v>13707.2284783322</v>
      </c>
      <c r="Q108" s="807"/>
      <c r="R108" s="479"/>
      <c r="S108" s="479"/>
    </row>
    <row r="109" ht="15.5" spans="1:19">
      <c r="A109" s="464">
        <v>2</v>
      </c>
      <c r="B109" s="643" t="s">
        <v>205</v>
      </c>
      <c r="C109" s="1023">
        <v>1259008.91666667</v>
      </c>
      <c r="D109" s="1021">
        <v>12</v>
      </c>
      <c r="E109" s="1023">
        <f t="shared" si="17"/>
        <v>15108107</v>
      </c>
      <c r="F109" s="1023"/>
      <c r="G109" s="1023">
        <v>0</v>
      </c>
      <c r="H109" s="1024">
        <v>843848.56</v>
      </c>
      <c r="I109" s="938"/>
      <c r="J109" s="1023">
        <f t="shared" si="9"/>
        <v>843848.56</v>
      </c>
      <c r="K109" s="1023">
        <f t="shared" si="10"/>
        <v>14264258.44</v>
      </c>
      <c r="L109" s="1023">
        <f t="shared" si="11"/>
        <v>2425494.27240001</v>
      </c>
      <c r="M109" s="474">
        <v>12</v>
      </c>
      <c r="N109" s="1029">
        <f t="shared" si="12"/>
        <v>202124.522700001</v>
      </c>
      <c r="O109" s="1023">
        <v>202249.552426666</v>
      </c>
      <c r="P109" s="806">
        <f t="shared" si="13"/>
        <v>-125.029726665292</v>
      </c>
      <c r="Q109" s="807"/>
      <c r="R109" s="479"/>
      <c r="S109" s="479"/>
    </row>
    <row r="110" ht="25" customHeight="1" spans="1:19">
      <c r="A110" s="464">
        <v>3</v>
      </c>
      <c r="B110" s="643" t="s">
        <v>208</v>
      </c>
      <c r="C110" s="1023">
        <v>904477</v>
      </c>
      <c r="D110" s="1021">
        <v>12</v>
      </c>
      <c r="E110" s="1023">
        <f t="shared" si="17"/>
        <v>10853724</v>
      </c>
      <c r="F110" s="1023"/>
      <c r="G110" s="1023">
        <v>0</v>
      </c>
      <c r="H110" s="1024">
        <v>714697.92</v>
      </c>
      <c r="I110" s="938"/>
      <c r="J110" s="1023">
        <f t="shared" si="9"/>
        <v>714697.92</v>
      </c>
      <c r="K110" s="1023">
        <f t="shared" si="10"/>
        <v>10139026.08</v>
      </c>
      <c r="L110" s="1023">
        <f t="shared" si="11"/>
        <v>1615024.6944</v>
      </c>
      <c r="M110" s="474">
        <v>12</v>
      </c>
      <c r="N110" s="1029">
        <f t="shared" si="12"/>
        <v>134585.3912</v>
      </c>
      <c r="O110" s="1023">
        <v>137025.935786667</v>
      </c>
      <c r="P110" s="806">
        <f t="shared" si="13"/>
        <v>-2440.54458666701</v>
      </c>
      <c r="Q110" s="807"/>
      <c r="R110" s="479"/>
      <c r="S110" s="479"/>
    </row>
    <row r="111" ht="15.5" spans="1:19">
      <c r="A111" s="464">
        <v>4</v>
      </c>
      <c r="B111" s="643" t="s">
        <v>209</v>
      </c>
      <c r="C111" s="1023">
        <v>713911.083333334</v>
      </c>
      <c r="D111" s="1021">
        <v>12</v>
      </c>
      <c r="E111" s="1023">
        <f t="shared" si="17"/>
        <v>8566933.00000001</v>
      </c>
      <c r="F111" s="1023"/>
      <c r="G111" s="1023">
        <v>107120</v>
      </c>
      <c r="H111" s="766">
        <v>550954.640000001</v>
      </c>
      <c r="I111" s="938"/>
      <c r="J111" s="1023">
        <f t="shared" si="9"/>
        <v>658074.640000001</v>
      </c>
      <c r="K111" s="1023">
        <f t="shared" si="10"/>
        <v>7908858.36000001</v>
      </c>
      <c r="L111" s="1023">
        <f t="shared" si="11"/>
        <v>1213594.5048</v>
      </c>
      <c r="M111" s="474">
        <v>12</v>
      </c>
      <c r="N111" s="1029">
        <f t="shared" si="12"/>
        <v>101132.8754</v>
      </c>
      <c r="O111" s="1023">
        <v>102472.111866667</v>
      </c>
      <c r="P111" s="806">
        <f t="shared" si="13"/>
        <v>-1339.2364666669</v>
      </c>
      <c r="Q111" s="807"/>
      <c r="R111" s="479"/>
      <c r="S111" s="479"/>
    </row>
    <row r="112" ht="24" customHeight="1" spans="1:19">
      <c r="A112" s="464">
        <v>5</v>
      </c>
      <c r="B112" s="643" t="s">
        <v>210</v>
      </c>
      <c r="C112" s="1023">
        <v>713911.083333334</v>
      </c>
      <c r="D112" s="1021">
        <v>12</v>
      </c>
      <c r="E112" s="1023">
        <f t="shared" si="17"/>
        <v>8566933.00000001</v>
      </c>
      <c r="F112" s="1023"/>
      <c r="G112" s="1023">
        <v>107120</v>
      </c>
      <c r="H112" s="1024">
        <v>550954.640000001</v>
      </c>
      <c r="I112" s="938"/>
      <c r="J112" s="1023">
        <f t="shared" si="9"/>
        <v>658074.640000001</v>
      </c>
      <c r="K112" s="1023">
        <f t="shared" si="10"/>
        <v>7908858.36000001</v>
      </c>
      <c r="L112" s="1023">
        <f t="shared" si="11"/>
        <v>1213594.5048</v>
      </c>
      <c r="M112" s="474">
        <v>12</v>
      </c>
      <c r="N112" s="1029">
        <f t="shared" si="12"/>
        <v>101132.8754</v>
      </c>
      <c r="O112" s="1023">
        <v>102472.111866667</v>
      </c>
      <c r="P112" s="806">
        <f t="shared" si="13"/>
        <v>-1339.2364666669</v>
      </c>
      <c r="Q112" s="807"/>
      <c r="R112" s="479"/>
      <c r="S112" s="479"/>
    </row>
    <row r="113" ht="31" spans="1:19">
      <c r="A113" s="464">
        <v>6</v>
      </c>
      <c r="B113" s="643" t="s">
        <v>211</v>
      </c>
      <c r="C113" s="1023">
        <v>698166.25</v>
      </c>
      <c r="D113" s="1021">
        <v>12</v>
      </c>
      <c r="E113" s="1023">
        <f t="shared" si="17"/>
        <v>8377995</v>
      </c>
      <c r="F113" s="1023"/>
      <c r="G113" s="1023">
        <v>0</v>
      </c>
      <c r="H113" s="1024">
        <v>535839.6</v>
      </c>
      <c r="I113" s="938"/>
      <c r="J113" s="1023">
        <f t="shared" si="9"/>
        <v>535839.6</v>
      </c>
      <c r="K113" s="1023">
        <f t="shared" si="10"/>
        <v>7842155.4</v>
      </c>
      <c r="L113" s="1023">
        <f t="shared" si="11"/>
        <v>1201587.972</v>
      </c>
      <c r="M113" s="474">
        <v>12</v>
      </c>
      <c r="N113" s="1029">
        <f t="shared" si="12"/>
        <v>100132.331</v>
      </c>
      <c r="O113" s="1023">
        <v>101359.647146667</v>
      </c>
      <c r="P113" s="806">
        <f t="shared" si="13"/>
        <v>-1227.316146667</v>
      </c>
      <c r="Q113" s="807"/>
      <c r="R113" s="479"/>
      <c r="S113" s="479"/>
    </row>
    <row r="114" ht="15.5" spans="1:19">
      <c r="A114" s="464">
        <v>7</v>
      </c>
      <c r="B114" s="643" t="s">
        <v>213</v>
      </c>
      <c r="C114" s="1023">
        <v>592662.666666667</v>
      </c>
      <c r="D114" s="1021">
        <v>12</v>
      </c>
      <c r="E114" s="1023">
        <f t="shared" si="17"/>
        <v>7111952</v>
      </c>
      <c r="F114" s="1023"/>
      <c r="G114" s="1023">
        <v>0</v>
      </c>
      <c r="H114" s="1024">
        <v>463356.16</v>
      </c>
      <c r="I114" s="938"/>
      <c r="J114" s="1023">
        <f t="shared" si="9"/>
        <v>463356.16</v>
      </c>
      <c r="K114" s="1023">
        <f t="shared" si="10"/>
        <v>6648595.84</v>
      </c>
      <c r="L114" s="1023">
        <f t="shared" si="11"/>
        <v>986747.251200001</v>
      </c>
      <c r="M114" s="474">
        <v>12</v>
      </c>
      <c r="N114" s="1029">
        <f t="shared" si="12"/>
        <v>82228.9376</v>
      </c>
      <c r="O114" s="1023">
        <v>82600.4740266667</v>
      </c>
      <c r="P114" s="806">
        <f t="shared" si="13"/>
        <v>-371.536426666658</v>
      </c>
      <c r="Q114" s="807"/>
      <c r="R114" s="479"/>
      <c r="S114" s="479"/>
    </row>
    <row r="115" ht="15.5" spans="1:19">
      <c r="A115" s="464">
        <v>8</v>
      </c>
      <c r="B115" s="643" t="s">
        <v>214</v>
      </c>
      <c r="C115" s="1023">
        <v>632098.916666667</v>
      </c>
      <c r="D115" s="1021">
        <v>12</v>
      </c>
      <c r="E115" s="1023">
        <f t="shared" si="17"/>
        <v>7585187</v>
      </c>
      <c r="F115" s="1023"/>
      <c r="G115" s="1023">
        <v>96107.725</v>
      </c>
      <c r="H115" s="1024">
        <v>491614.96</v>
      </c>
      <c r="I115" s="938"/>
      <c r="J115" s="1023">
        <f t="shared" si="9"/>
        <v>587722.685</v>
      </c>
      <c r="K115" s="1023">
        <f t="shared" si="10"/>
        <v>6997464.315</v>
      </c>
      <c r="L115" s="1023">
        <f t="shared" si="11"/>
        <v>1049543.5767</v>
      </c>
      <c r="M115" s="474">
        <v>12</v>
      </c>
      <c r="N115" s="1029">
        <f t="shared" si="12"/>
        <v>87461.964725</v>
      </c>
      <c r="O115" s="1023">
        <v>88084.2216266667</v>
      </c>
      <c r="P115" s="806">
        <f t="shared" si="13"/>
        <v>-622.256901666653</v>
      </c>
      <c r="Q115" s="807"/>
      <c r="R115" s="479"/>
      <c r="S115" s="479"/>
    </row>
    <row r="116" ht="15.5" spans="1:19">
      <c r="A116" s="464">
        <v>9</v>
      </c>
      <c r="B116" s="643" t="s">
        <v>216</v>
      </c>
      <c r="C116" s="1023">
        <v>564993.583333333</v>
      </c>
      <c r="D116" s="1021">
        <v>12</v>
      </c>
      <c r="E116" s="1023">
        <f t="shared" si="17"/>
        <v>6779923</v>
      </c>
      <c r="F116" s="1023"/>
      <c r="G116" s="1023">
        <v>0</v>
      </c>
      <c r="H116" s="1024">
        <v>436793.84</v>
      </c>
      <c r="I116" s="938"/>
      <c r="J116" s="1023">
        <f t="shared" si="9"/>
        <v>436793.84</v>
      </c>
      <c r="K116" s="1023">
        <f t="shared" si="10"/>
        <v>6343129.16</v>
      </c>
      <c r="L116" s="1023">
        <f t="shared" si="11"/>
        <v>931763.248799999</v>
      </c>
      <c r="M116" s="474">
        <v>12</v>
      </c>
      <c r="N116" s="1029">
        <f t="shared" si="12"/>
        <v>77646.9374</v>
      </c>
      <c r="O116" s="1023">
        <v>77712.9924266667</v>
      </c>
      <c r="P116" s="806">
        <f t="shared" si="13"/>
        <v>-66.0550266667415</v>
      </c>
      <c r="Q116" s="807"/>
      <c r="R116" s="479"/>
      <c r="S116" s="479"/>
    </row>
    <row r="117" ht="15.5" spans="1:19">
      <c r="A117" s="464">
        <v>10</v>
      </c>
      <c r="B117" s="643" t="s">
        <v>217</v>
      </c>
      <c r="C117" s="1023">
        <v>499131.166666667</v>
      </c>
      <c r="D117" s="1021">
        <v>12</v>
      </c>
      <c r="E117" s="1023">
        <f t="shared" si="17"/>
        <v>5989574</v>
      </c>
      <c r="F117" s="1023"/>
      <c r="G117" s="1023">
        <v>0</v>
      </c>
      <c r="H117" s="1024">
        <v>383165.92</v>
      </c>
      <c r="I117" s="938"/>
      <c r="J117" s="1023">
        <f t="shared" si="9"/>
        <v>383165.92</v>
      </c>
      <c r="K117" s="1023">
        <f t="shared" si="10"/>
        <v>5606408.08</v>
      </c>
      <c r="L117" s="1023">
        <f t="shared" si="11"/>
        <v>799153.454400001</v>
      </c>
      <c r="M117" s="474">
        <v>12</v>
      </c>
      <c r="N117" s="1029">
        <f t="shared" si="12"/>
        <v>66596.1212000001</v>
      </c>
      <c r="O117" s="1023">
        <v>66780.2602666668</v>
      </c>
      <c r="P117" s="806">
        <f t="shared" si="13"/>
        <v>-184.139066666743</v>
      </c>
      <c r="Q117" s="807"/>
      <c r="R117" s="479"/>
      <c r="S117" s="479"/>
    </row>
    <row r="118" ht="31" spans="1:19">
      <c r="A118" s="464">
        <v>11</v>
      </c>
      <c r="B118" s="643" t="s">
        <v>219</v>
      </c>
      <c r="C118" s="1023">
        <v>438711.666666667</v>
      </c>
      <c r="D118" s="1021">
        <v>12</v>
      </c>
      <c r="E118" s="1023">
        <f t="shared" si="17"/>
        <v>5264540</v>
      </c>
      <c r="F118" s="1023"/>
      <c r="G118" s="1023">
        <v>0</v>
      </c>
      <c r="H118" s="938">
        <v>325163.2</v>
      </c>
      <c r="I118" s="938"/>
      <c r="J118" s="1023">
        <f t="shared" si="9"/>
        <v>325163.2</v>
      </c>
      <c r="K118" s="1023">
        <f t="shared" si="10"/>
        <v>4939376.8</v>
      </c>
      <c r="L118" s="1023">
        <f t="shared" si="11"/>
        <v>679087.824000001</v>
      </c>
      <c r="M118" s="474">
        <v>12</v>
      </c>
      <c r="N118" s="1029">
        <f t="shared" si="12"/>
        <v>56590.6520000001</v>
      </c>
      <c r="O118" s="806">
        <v>56229.7738666667</v>
      </c>
      <c r="P118" s="806">
        <f t="shared" si="13"/>
        <v>360.878133333354</v>
      </c>
      <c r="Q118" s="807"/>
      <c r="R118" s="479"/>
      <c r="S118" s="479"/>
    </row>
    <row r="119" ht="15.5" spans="1:19">
      <c r="A119" s="464">
        <v>12</v>
      </c>
      <c r="B119" s="351" t="s">
        <v>220</v>
      </c>
      <c r="C119" s="1023">
        <v>438711.666666667</v>
      </c>
      <c r="D119" s="1021">
        <v>12</v>
      </c>
      <c r="E119" s="1023">
        <f t="shared" si="17"/>
        <v>5264540</v>
      </c>
      <c r="F119" s="1023"/>
      <c r="G119" s="1023">
        <v>0</v>
      </c>
      <c r="H119" s="938">
        <v>325163.2</v>
      </c>
      <c r="I119" s="938"/>
      <c r="J119" s="1023">
        <f t="shared" si="9"/>
        <v>325163.2</v>
      </c>
      <c r="K119" s="1023">
        <f t="shared" si="10"/>
        <v>4939376.8</v>
      </c>
      <c r="L119" s="1023">
        <f t="shared" si="11"/>
        <v>679087.824000001</v>
      </c>
      <c r="M119" s="474">
        <v>12</v>
      </c>
      <c r="N119" s="1029">
        <f t="shared" si="12"/>
        <v>56590.6520000001</v>
      </c>
      <c r="O119" s="806">
        <v>56229.7738666667</v>
      </c>
      <c r="P119" s="806">
        <f t="shared" si="13"/>
        <v>360.878133333354</v>
      </c>
      <c r="Q119" s="807"/>
      <c r="R119" s="479"/>
      <c r="S119" s="479"/>
    </row>
    <row r="120" ht="15.5" spans="1:19">
      <c r="A120" s="464">
        <v>13</v>
      </c>
      <c r="B120" s="643" t="s">
        <v>221</v>
      </c>
      <c r="C120" s="1023">
        <v>415930.583333333</v>
      </c>
      <c r="D120" s="1021">
        <v>12</v>
      </c>
      <c r="E120" s="1023">
        <f t="shared" si="17"/>
        <v>4991167</v>
      </c>
      <c r="F120" s="807"/>
      <c r="G120" s="807">
        <v>61420.325</v>
      </c>
      <c r="H120" s="807">
        <v>303293.36</v>
      </c>
      <c r="I120" s="807"/>
      <c r="J120" s="1023">
        <f t="shared" si="9"/>
        <v>364713.685</v>
      </c>
      <c r="K120" s="1023">
        <f t="shared" si="10"/>
        <v>4626453.315</v>
      </c>
      <c r="L120" s="1023">
        <f t="shared" si="11"/>
        <v>622761.596699999</v>
      </c>
      <c r="M120" s="474">
        <v>12</v>
      </c>
      <c r="N120" s="1029">
        <f t="shared" si="12"/>
        <v>51896.799725</v>
      </c>
      <c r="O120" s="806">
        <v>52434.4132266667</v>
      </c>
      <c r="P120" s="806">
        <f t="shared" si="13"/>
        <v>-537.613501666747</v>
      </c>
      <c r="Q120" s="807"/>
      <c r="R120" s="479"/>
      <c r="S120" s="479"/>
    </row>
    <row r="121" ht="15.5" spans="1:19">
      <c r="A121" s="464"/>
      <c r="B121" s="639" t="s">
        <v>120</v>
      </c>
      <c r="C121" s="1025">
        <f>SUM(C108:C120)</f>
        <v>9769073.91666667</v>
      </c>
      <c r="D121" s="1025"/>
      <c r="E121" s="1025">
        <f t="shared" ref="D121:P121" si="19">SUM(E108:E120)</f>
        <v>117228887</v>
      </c>
      <c r="F121" s="1025"/>
      <c r="G121" s="1025">
        <f t="shared" si="19"/>
        <v>688649.899999999</v>
      </c>
      <c r="H121" s="1025">
        <f t="shared" si="19"/>
        <v>7554310.96</v>
      </c>
      <c r="I121" s="1025"/>
      <c r="J121" s="1025">
        <f t="shared" si="19"/>
        <v>8242960.86</v>
      </c>
      <c r="K121" s="1025">
        <f t="shared" si="19"/>
        <v>108985926.14</v>
      </c>
      <c r="L121" s="1025">
        <f t="shared" si="19"/>
        <v>17220053.4141</v>
      </c>
      <c r="M121" s="1025"/>
      <c r="N121" s="1030">
        <f t="shared" si="19"/>
        <v>1435004.451175</v>
      </c>
      <c r="O121" s="1025">
        <f t="shared" si="19"/>
        <v>1428828.43074667</v>
      </c>
      <c r="P121" s="1025">
        <f t="shared" si="19"/>
        <v>6176.02042833229</v>
      </c>
      <c r="Q121" s="807"/>
      <c r="R121" s="479"/>
      <c r="S121" s="479"/>
    </row>
    <row r="122" ht="15.5" spans="1:19">
      <c r="A122" s="464"/>
      <c r="B122" s="643"/>
      <c r="C122" s="1036"/>
      <c r="D122" s="1021"/>
      <c r="E122" s="1023"/>
      <c r="F122" s="1023"/>
      <c r="G122" s="1023"/>
      <c r="H122" s="1024"/>
      <c r="I122" s="938"/>
      <c r="J122" s="1023"/>
      <c r="K122" s="1023"/>
      <c r="L122" s="1023"/>
      <c r="M122" s="474"/>
      <c r="N122" s="1029"/>
      <c r="O122" s="806"/>
      <c r="P122" s="806"/>
      <c r="Q122" s="807"/>
      <c r="R122" s="479"/>
      <c r="S122" s="479"/>
    </row>
    <row r="123" ht="15.5" spans="1:19">
      <c r="A123" s="464"/>
      <c r="B123" s="643" t="s">
        <v>224</v>
      </c>
      <c r="C123" s="1023"/>
      <c r="D123" s="1021"/>
      <c r="E123" s="1023"/>
      <c r="F123" s="1023"/>
      <c r="G123" s="1023"/>
      <c r="H123" s="1024"/>
      <c r="I123" s="938"/>
      <c r="J123" s="1023"/>
      <c r="K123" s="1023"/>
      <c r="L123" s="1023"/>
      <c r="M123" s="474"/>
      <c r="N123" s="1029"/>
      <c r="O123" s="806"/>
      <c r="P123" s="806"/>
      <c r="Q123" s="807"/>
      <c r="R123" s="479"/>
      <c r="S123" s="479"/>
    </row>
    <row r="124" ht="15.5" spans="1:19">
      <c r="A124" s="464">
        <v>1</v>
      </c>
      <c r="B124" s="643" t="s">
        <v>225</v>
      </c>
      <c r="C124" s="1023">
        <v>1847106.41666666</v>
      </c>
      <c r="D124" s="1021">
        <v>12</v>
      </c>
      <c r="E124" s="1023">
        <f t="shared" si="17"/>
        <v>22165276.9999999</v>
      </c>
      <c r="F124" s="1023"/>
      <c r="G124" s="1023">
        <v>326033.124999999</v>
      </c>
      <c r="H124" s="1024">
        <v>1677222.15999999</v>
      </c>
      <c r="I124" s="938"/>
      <c r="J124" s="1023">
        <f t="shared" si="9"/>
        <v>2003255.28499999</v>
      </c>
      <c r="K124" s="1023">
        <f t="shared" si="10"/>
        <v>20162021.7149999</v>
      </c>
      <c r="L124" s="1023">
        <f t="shared" si="11"/>
        <v>3664024.56014999</v>
      </c>
      <c r="M124" s="474">
        <v>12</v>
      </c>
      <c r="N124" s="1029">
        <f t="shared" si="12"/>
        <v>305335.380012499</v>
      </c>
      <c r="O124" s="806">
        <v>292618.109706666</v>
      </c>
      <c r="P124" s="806">
        <f t="shared" si="13"/>
        <v>12717.2703058328</v>
      </c>
      <c r="Q124" s="807"/>
      <c r="R124" s="479"/>
      <c r="S124" s="479"/>
    </row>
    <row r="125" ht="15.5" spans="1:19">
      <c r="A125" s="464">
        <v>2</v>
      </c>
      <c r="B125" s="643" t="s">
        <v>227</v>
      </c>
      <c r="C125" s="1023">
        <v>659657</v>
      </c>
      <c r="D125" s="1021">
        <v>12</v>
      </c>
      <c r="E125" s="1023">
        <f t="shared" si="17"/>
        <v>7915884</v>
      </c>
      <c r="F125" s="1023"/>
      <c r="G125" s="1023">
        <v>0</v>
      </c>
      <c r="H125" s="1024">
        <v>566070.72</v>
      </c>
      <c r="I125" s="938"/>
      <c r="J125" s="1023">
        <f t="shared" si="9"/>
        <v>566070.72</v>
      </c>
      <c r="K125" s="1023">
        <f t="shared" si="10"/>
        <v>7349813.28</v>
      </c>
      <c r="L125" s="1023">
        <f t="shared" si="11"/>
        <v>1112966.3904</v>
      </c>
      <c r="M125" s="474">
        <v>12</v>
      </c>
      <c r="N125" s="1029">
        <f t="shared" si="12"/>
        <v>92747.1992</v>
      </c>
      <c r="O125" s="806">
        <v>93482.3204266668</v>
      </c>
      <c r="P125" s="806">
        <f t="shared" si="13"/>
        <v>-735.121226666815</v>
      </c>
      <c r="Q125" s="807"/>
      <c r="R125" s="479"/>
      <c r="S125" s="479"/>
    </row>
    <row r="126" ht="15.5" spans="1:19">
      <c r="A126" s="464">
        <v>3</v>
      </c>
      <c r="B126" s="643" t="s">
        <v>229</v>
      </c>
      <c r="C126" s="1023">
        <v>582098.916666667</v>
      </c>
      <c r="D126" s="1021">
        <v>12</v>
      </c>
      <c r="E126" s="1023">
        <f t="shared" si="17"/>
        <v>6985187</v>
      </c>
      <c r="F126" s="1037"/>
      <c r="G126" s="1037">
        <v>96107.725</v>
      </c>
      <c r="H126" s="1038">
        <v>491614.96</v>
      </c>
      <c r="I126" s="483"/>
      <c r="J126" s="1023">
        <f t="shared" si="9"/>
        <v>587722.685</v>
      </c>
      <c r="K126" s="1023">
        <f t="shared" si="10"/>
        <v>6397464.315</v>
      </c>
      <c r="L126" s="1023">
        <f t="shared" si="11"/>
        <v>941543.576700001</v>
      </c>
      <c r="M126" s="474">
        <v>12</v>
      </c>
      <c r="N126" s="1029">
        <f t="shared" si="12"/>
        <v>78461.964725</v>
      </c>
      <c r="O126" s="806">
        <v>78484.2216266667</v>
      </c>
      <c r="P126" s="806">
        <f t="shared" si="13"/>
        <v>-22.256901666653</v>
      </c>
      <c r="Q126" s="807"/>
      <c r="R126" s="479"/>
      <c r="S126" s="479"/>
    </row>
    <row r="127" ht="15.5" spans="1:19">
      <c r="A127" s="464">
        <v>4</v>
      </c>
      <c r="B127" s="643" t="s">
        <v>231</v>
      </c>
      <c r="C127" s="1023">
        <v>567472.75</v>
      </c>
      <c r="D127" s="1021">
        <v>12</v>
      </c>
      <c r="E127" s="1023">
        <f t="shared" si="17"/>
        <v>6809673</v>
      </c>
      <c r="F127" s="1037"/>
      <c r="G127" s="1037">
        <v>93501.975</v>
      </c>
      <c r="H127" s="1038">
        <v>477573.84</v>
      </c>
      <c r="I127" s="483"/>
      <c r="J127" s="1023">
        <f t="shared" si="9"/>
        <v>571075.815</v>
      </c>
      <c r="K127" s="1023">
        <f t="shared" si="10"/>
        <v>6238597.185</v>
      </c>
      <c r="L127" s="1023">
        <f t="shared" si="11"/>
        <v>912947.4933</v>
      </c>
      <c r="M127" s="474">
        <v>12</v>
      </c>
      <c r="N127" s="1029">
        <f t="shared" si="12"/>
        <v>76078.957775</v>
      </c>
      <c r="O127" s="806">
        <v>77396.6871466667</v>
      </c>
      <c r="P127" s="806">
        <f t="shared" si="13"/>
        <v>-1317.72937166672</v>
      </c>
      <c r="Q127" s="807"/>
      <c r="R127" s="479"/>
      <c r="S127" s="479"/>
    </row>
    <row r="128" ht="15.5" spans="1:19">
      <c r="A128" s="464">
        <v>5</v>
      </c>
      <c r="B128" s="643" t="s">
        <v>233</v>
      </c>
      <c r="C128" s="1023">
        <v>567472.75</v>
      </c>
      <c r="D128" s="1021">
        <v>12</v>
      </c>
      <c r="E128" s="1023">
        <f t="shared" si="17"/>
        <v>6809673</v>
      </c>
      <c r="F128" s="1037"/>
      <c r="G128" s="1037">
        <v>0</v>
      </c>
      <c r="H128" s="1038">
        <v>477573.84</v>
      </c>
      <c r="I128" s="483"/>
      <c r="J128" s="1023">
        <f t="shared" si="9"/>
        <v>477573.84</v>
      </c>
      <c r="K128" s="1023">
        <f t="shared" si="10"/>
        <v>6332099.16</v>
      </c>
      <c r="L128" s="1023">
        <f t="shared" si="11"/>
        <v>929777.8488</v>
      </c>
      <c r="M128" s="474">
        <v>12</v>
      </c>
      <c r="N128" s="1029">
        <f t="shared" si="12"/>
        <v>77481.4874</v>
      </c>
      <c r="O128" s="806">
        <v>77396.6871466667</v>
      </c>
      <c r="P128" s="806">
        <f t="shared" si="13"/>
        <v>84.800253333291</v>
      </c>
      <c r="Q128" s="807"/>
      <c r="R128" s="479"/>
      <c r="S128" s="479"/>
    </row>
    <row r="129" ht="15.5" spans="1:19">
      <c r="A129" s="464">
        <v>6</v>
      </c>
      <c r="B129" s="351" t="s">
        <v>234</v>
      </c>
      <c r="C129" s="1023">
        <v>459131.166666667</v>
      </c>
      <c r="D129" s="1021">
        <v>12</v>
      </c>
      <c r="E129" s="1023">
        <f t="shared" si="17"/>
        <v>5509574</v>
      </c>
      <c r="F129" s="807"/>
      <c r="G129" s="807">
        <v>0</v>
      </c>
      <c r="H129" s="807">
        <v>383165.92</v>
      </c>
      <c r="I129" s="807"/>
      <c r="J129" s="1023">
        <f t="shared" si="9"/>
        <v>383165.92</v>
      </c>
      <c r="K129" s="1023">
        <f t="shared" si="10"/>
        <v>5126408.08</v>
      </c>
      <c r="L129" s="1023">
        <f t="shared" si="11"/>
        <v>712753.454400001</v>
      </c>
      <c r="M129" s="474">
        <v>12</v>
      </c>
      <c r="N129" s="1029">
        <f t="shared" si="12"/>
        <v>59396.1212000001</v>
      </c>
      <c r="O129" s="806">
        <v>59100.2602666668</v>
      </c>
      <c r="P129" s="806">
        <f t="shared" si="13"/>
        <v>295.86093333325</v>
      </c>
      <c r="Q129" s="807"/>
      <c r="R129" s="479"/>
      <c r="S129" s="479"/>
    </row>
    <row r="130" ht="15.5" spans="1:19">
      <c r="A130" s="464">
        <v>7</v>
      </c>
      <c r="B130" s="643" t="s">
        <v>235</v>
      </c>
      <c r="C130" s="1023">
        <v>441140.666666666</v>
      </c>
      <c r="D130" s="1021">
        <v>12</v>
      </c>
      <c r="E130" s="1023">
        <f t="shared" si="17"/>
        <v>5293687.99999999</v>
      </c>
      <c r="F130" s="807"/>
      <c r="G130" s="807">
        <v>0</v>
      </c>
      <c r="H130" s="807">
        <v>365895.039999999</v>
      </c>
      <c r="I130" s="807"/>
      <c r="J130" s="1023">
        <f t="shared" si="9"/>
        <v>365895.039999999</v>
      </c>
      <c r="K130" s="1023">
        <f t="shared" si="10"/>
        <v>4927792.95999999</v>
      </c>
      <c r="L130" s="1023">
        <f t="shared" si="11"/>
        <v>677002.732799999</v>
      </c>
      <c r="M130" s="474">
        <v>12</v>
      </c>
      <c r="N130" s="1029">
        <f t="shared" si="12"/>
        <v>56416.8943999999</v>
      </c>
      <c r="O130" s="806">
        <v>55922.4183466667</v>
      </c>
      <c r="P130" s="806">
        <f t="shared" si="13"/>
        <v>494.476053333194</v>
      </c>
      <c r="Q130" s="807"/>
      <c r="R130" s="479"/>
      <c r="S130" s="479"/>
    </row>
    <row r="131" ht="15.5" spans="1:19">
      <c r="A131" s="464"/>
      <c r="B131" s="643" t="s">
        <v>120</v>
      </c>
      <c r="C131" s="1040">
        <f>SUM(C124:C130)</f>
        <v>5124079.66666666</v>
      </c>
      <c r="D131" s="1041"/>
      <c r="E131" s="1040">
        <f t="shared" ref="D131:P131" si="20">SUM(E124:E130)</f>
        <v>61488955.9999999</v>
      </c>
      <c r="F131" s="1040"/>
      <c r="G131" s="1040">
        <f t="shared" si="20"/>
        <v>515642.824999999</v>
      </c>
      <c r="H131" s="1040">
        <f t="shared" si="20"/>
        <v>4439116.47999999</v>
      </c>
      <c r="I131" s="1040"/>
      <c r="J131" s="1040">
        <f t="shared" si="20"/>
        <v>4954759.30499999</v>
      </c>
      <c r="K131" s="1040">
        <f t="shared" si="20"/>
        <v>56534196.6949999</v>
      </c>
      <c r="L131" s="1040">
        <f t="shared" si="20"/>
        <v>8951016.05654999</v>
      </c>
      <c r="M131" s="1040"/>
      <c r="N131" s="1042">
        <f t="shared" si="20"/>
        <v>745918.004712499</v>
      </c>
      <c r="O131" s="1040">
        <f t="shared" si="20"/>
        <v>734400.704666666</v>
      </c>
      <c r="P131" s="1040">
        <f t="shared" si="20"/>
        <v>11517.3000458323</v>
      </c>
      <c r="Q131" s="807"/>
      <c r="R131" s="479"/>
      <c r="S131" s="479"/>
    </row>
    <row r="132" ht="15.5" spans="1:19">
      <c r="A132" s="464"/>
      <c r="B132" s="643"/>
      <c r="C132" s="1023"/>
      <c r="D132" s="1021"/>
      <c r="E132" s="1023"/>
      <c r="F132" s="1023"/>
      <c r="G132" s="1023"/>
      <c r="H132" s="1024"/>
      <c r="I132" s="938"/>
      <c r="J132" s="1023"/>
      <c r="K132" s="1023"/>
      <c r="L132" s="1023"/>
      <c r="M132" s="474"/>
      <c r="N132" s="1029"/>
      <c r="O132" s="806"/>
      <c r="P132" s="806"/>
      <c r="Q132" s="807"/>
      <c r="R132" s="479"/>
      <c r="S132" s="479"/>
    </row>
    <row r="133" ht="15.5" spans="1:19">
      <c r="A133" s="464"/>
      <c r="B133" s="643" t="s">
        <v>237</v>
      </c>
      <c r="C133" s="1023"/>
      <c r="D133" s="1021"/>
      <c r="E133" s="1023"/>
      <c r="F133" s="1023"/>
      <c r="G133" s="1023"/>
      <c r="H133" s="1024"/>
      <c r="I133" s="938"/>
      <c r="J133" s="1023"/>
      <c r="K133" s="1023"/>
      <c r="L133" s="1023"/>
      <c r="M133" s="474"/>
      <c r="N133" s="1029"/>
      <c r="O133" s="806"/>
      <c r="P133" s="806"/>
      <c r="Q133" s="807"/>
      <c r="R133" s="479"/>
      <c r="S133" s="479"/>
    </row>
    <row r="134" ht="15.5" spans="1:19">
      <c r="A134" s="464">
        <v>1</v>
      </c>
      <c r="B134" s="643" t="s">
        <v>238</v>
      </c>
      <c r="C134" s="1023">
        <v>1947106.41666666</v>
      </c>
      <c r="D134" s="1021">
        <v>12</v>
      </c>
      <c r="E134" s="1023">
        <f t="shared" si="17"/>
        <v>23365276.9999999</v>
      </c>
      <c r="F134" s="1023"/>
      <c r="G134" s="1023">
        <v>0</v>
      </c>
      <c r="H134" s="1024">
        <v>1677222.15999999</v>
      </c>
      <c r="I134" s="938"/>
      <c r="J134" s="1023">
        <f t="shared" si="9"/>
        <v>1677222.15999999</v>
      </c>
      <c r="K134" s="1023">
        <f t="shared" si="10"/>
        <v>21688054.8399999</v>
      </c>
      <c r="L134" s="1023">
        <f t="shared" si="11"/>
        <v>3984491.51639999</v>
      </c>
      <c r="M134" s="474">
        <v>12</v>
      </c>
      <c r="N134" s="1029">
        <f t="shared" si="12"/>
        <v>332040.959699999</v>
      </c>
      <c r="O134" s="806">
        <v>325675.544106665</v>
      </c>
      <c r="P134" s="806">
        <f t="shared" si="13"/>
        <v>6365.41559333378</v>
      </c>
      <c r="Q134" s="807"/>
      <c r="R134" s="479"/>
      <c r="S134" s="479"/>
    </row>
    <row r="135" ht="15.5" spans="1:19">
      <c r="A135" s="464">
        <v>2</v>
      </c>
      <c r="B135" s="643" t="s">
        <v>240</v>
      </c>
      <c r="C135" s="1023">
        <v>1085306.75</v>
      </c>
      <c r="D135" s="1021">
        <v>12</v>
      </c>
      <c r="E135" s="1023">
        <f t="shared" si="17"/>
        <v>13023681</v>
      </c>
      <c r="F135" s="1023"/>
      <c r="G135" s="1023">
        <v>166400.85</v>
      </c>
      <c r="H135" s="1024">
        <v>869094.48</v>
      </c>
      <c r="I135" s="938"/>
      <c r="J135" s="1023">
        <f t="shared" ref="J135:J198" si="21">F135+G135+H135</f>
        <v>1035495.33</v>
      </c>
      <c r="K135" s="1023">
        <f t="shared" ref="K135:K198" si="22">E135-J135</f>
        <v>11988185.67</v>
      </c>
      <c r="L135" s="1023">
        <f t="shared" ref="L135:L198" si="23">IF(K135&lt;=800000,0,IF(K135&lt;=3000000,(K135-800000)*15%,IF(K135&lt;=12000000,330000+(K135-3000000)*18%,IF(K135&lt;=25000000,1950000+(K135-12000000)*21%,IF(K135&lt;=50000000,4680000+(K135-25000000)*23%,10430000+(K135-50000000)*25%)))))</f>
        <v>1947873.4206</v>
      </c>
      <c r="M135" s="474">
        <v>12</v>
      </c>
      <c r="N135" s="1029">
        <f t="shared" ref="N135:N198" si="24">L135/M135</f>
        <v>162322.78505</v>
      </c>
      <c r="O135" s="806">
        <v>170477.637386667</v>
      </c>
      <c r="P135" s="806">
        <f t="shared" ref="P135:P198" si="25">N135-O135</f>
        <v>-8154.85233666701</v>
      </c>
      <c r="Q135" s="807"/>
      <c r="R135" s="479"/>
      <c r="S135" s="479"/>
    </row>
    <row r="136" ht="15.5" spans="1:19">
      <c r="A136" s="464">
        <v>3</v>
      </c>
      <c r="B136" s="351" t="s">
        <v>242</v>
      </c>
      <c r="C136" s="1023">
        <v>757831.395</v>
      </c>
      <c r="D136" s="1021">
        <v>12</v>
      </c>
      <c r="E136" s="1023">
        <f t="shared" si="17"/>
        <v>9093976.74</v>
      </c>
      <c r="F136" s="1023"/>
      <c r="G136" s="1023">
        <v>104314.775</v>
      </c>
      <c r="H136" s="1024">
        <v>535838.64</v>
      </c>
      <c r="I136" s="938"/>
      <c r="J136" s="1023">
        <f t="shared" si="21"/>
        <v>640153.415</v>
      </c>
      <c r="K136" s="1023">
        <f t="shared" si="22"/>
        <v>8453823.325</v>
      </c>
      <c r="L136" s="1023">
        <f t="shared" si="23"/>
        <v>1311688.1985</v>
      </c>
      <c r="M136" s="474">
        <v>12</v>
      </c>
      <c r="N136" s="1029">
        <f t="shared" si="24"/>
        <v>109307.349875</v>
      </c>
      <c r="O136" s="806">
        <v>111210.846026667</v>
      </c>
      <c r="P136" s="806">
        <f t="shared" si="25"/>
        <v>-1903.496151667</v>
      </c>
      <c r="Q136" s="807"/>
      <c r="R136" s="479"/>
      <c r="S136" s="479"/>
    </row>
    <row r="137" ht="15.5" spans="1:19">
      <c r="A137" s="464">
        <v>4</v>
      </c>
      <c r="B137" s="351" t="s">
        <v>244</v>
      </c>
      <c r="C137" s="1023">
        <v>757831.395</v>
      </c>
      <c r="D137" s="1021">
        <v>12</v>
      </c>
      <c r="E137" s="1023">
        <f t="shared" si="17"/>
        <v>9093976.74</v>
      </c>
      <c r="F137" s="1037"/>
      <c r="G137" s="807">
        <v>0</v>
      </c>
      <c r="H137" s="1024">
        <v>535838.64</v>
      </c>
      <c r="I137" s="938"/>
      <c r="J137" s="1023">
        <f t="shared" si="21"/>
        <v>535838.64</v>
      </c>
      <c r="K137" s="1023">
        <f t="shared" si="22"/>
        <v>8558138.1</v>
      </c>
      <c r="L137" s="1023">
        <f t="shared" si="23"/>
        <v>1330464.858</v>
      </c>
      <c r="M137" s="474">
        <v>12</v>
      </c>
      <c r="N137" s="1029">
        <f t="shared" si="24"/>
        <v>110872.0715</v>
      </c>
      <c r="O137" s="806">
        <v>112831.954026667</v>
      </c>
      <c r="P137" s="806">
        <f t="shared" si="25"/>
        <v>-1959.88252666699</v>
      </c>
      <c r="Q137" s="807"/>
      <c r="R137" s="479"/>
      <c r="S137" s="479"/>
    </row>
    <row r="138" ht="15.5" spans="1:19">
      <c r="A138" s="464">
        <v>5</v>
      </c>
      <c r="B138" s="351" t="s">
        <v>245</v>
      </c>
      <c r="C138" s="1023">
        <v>613521.073333333</v>
      </c>
      <c r="D138" s="1021">
        <v>12</v>
      </c>
      <c r="E138" s="1023">
        <f t="shared" si="17"/>
        <v>7362252.88</v>
      </c>
      <c r="F138" s="1037"/>
      <c r="G138" s="807">
        <v>0</v>
      </c>
      <c r="H138" s="1024">
        <v>436793.84</v>
      </c>
      <c r="I138" s="483"/>
      <c r="J138" s="1023">
        <f t="shared" si="21"/>
        <v>436793.84</v>
      </c>
      <c r="K138" s="1023">
        <f t="shared" si="22"/>
        <v>6925459.04</v>
      </c>
      <c r="L138" s="1023">
        <f t="shared" si="23"/>
        <v>1036582.6272</v>
      </c>
      <c r="M138" s="474">
        <v>12</v>
      </c>
      <c r="N138" s="1029">
        <f t="shared" si="24"/>
        <v>86381.8856</v>
      </c>
      <c r="O138" s="806">
        <v>87030.2705066667</v>
      </c>
      <c r="P138" s="806">
        <f t="shared" si="25"/>
        <v>-648.384906666703</v>
      </c>
      <c r="Q138" s="807"/>
      <c r="R138" s="479"/>
      <c r="S138" s="479"/>
    </row>
    <row r="139" ht="15.5" spans="1:19">
      <c r="A139" s="464">
        <v>6</v>
      </c>
      <c r="B139" s="351" t="s">
        <v>247</v>
      </c>
      <c r="C139" s="1023">
        <v>473254.7125</v>
      </c>
      <c r="D139" s="1021">
        <v>12</v>
      </c>
      <c r="E139" s="1023">
        <f t="shared" si="17"/>
        <v>5679056.55</v>
      </c>
      <c r="F139" s="1037"/>
      <c r="G139" s="807">
        <v>0</v>
      </c>
      <c r="H139" s="1024">
        <v>323481.76</v>
      </c>
      <c r="I139" s="483"/>
      <c r="J139" s="1023">
        <f t="shared" si="21"/>
        <v>323481.76</v>
      </c>
      <c r="K139" s="1023">
        <f t="shared" si="22"/>
        <v>5355574.79</v>
      </c>
      <c r="L139" s="1023">
        <f t="shared" si="23"/>
        <v>754003.4622</v>
      </c>
      <c r="M139" s="474">
        <v>12</v>
      </c>
      <c r="N139" s="1029">
        <f t="shared" si="24"/>
        <v>62833.62185</v>
      </c>
      <c r="O139" s="806">
        <v>63117.6610666667</v>
      </c>
      <c r="P139" s="806">
        <f t="shared" si="25"/>
        <v>-284.039216666701</v>
      </c>
      <c r="Q139" s="807"/>
      <c r="R139" s="479"/>
      <c r="S139" s="479"/>
    </row>
    <row r="140" ht="31" spans="1:19">
      <c r="A140" s="464">
        <v>7</v>
      </c>
      <c r="B140" s="351" t="s">
        <v>250</v>
      </c>
      <c r="C140" s="1023">
        <v>475056.445833334</v>
      </c>
      <c r="D140" s="1021">
        <v>12</v>
      </c>
      <c r="E140" s="1023">
        <f t="shared" si="17"/>
        <v>5700677.35000001</v>
      </c>
      <c r="F140" s="1037"/>
      <c r="G140" s="807">
        <v>0</v>
      </c>
      <c r="H140" s="1024">
        <v>325163.2</v>
      </c>
      <c r="I140" s="483"/>
      <c r="J140" s="1023">
        <f t="shared" si="21"/>
        <v>325163.2</v>
      </c>
      <c r="K140" s="1023">
        <f t="shared" si="22"/>
        <v>5375514.15000001</v>
      </c>
      <c r="L140" s="1023">
        <f t="shared" si="23"/>
        <v>757592.547000002</v>
      </c>
      <c r="M140" s="474">
        <v>12</v>
      </c>
      <c r="N140" s="1029">
        <f t="shared" si="24"/>
        <v>63132.7122500001</v>
      </c>
      <c r="O140" s="806">
        <v>63207.9714666666</v>
      </c>
      <c r="P140" s="806">
        <f t="shared" si="25"/>
        <v>-75.2592166664617</v>
      </c>
      <c r="Q140" s="807"/>
      <c r="R140" s="479"/>
      <c r="S140" s="479"/>
    </row>
    <row r="141" ht="15.5" spans="1:19">
      <c r="A141" s="464">
        <v>8</v>
      </c>
      <c r="B141" s="351" t="s">
        <v>251</v>
      </c>
      <c r="C141" s="1023">
        <v>449911.856666666</v>
      </c>
      <c r="D141" s="1021">
        <v>12</v>
      </c>
      <c r="E141" s="1023">
        <f t="shared" si="17"/>
        <v>5398942.27999999</v>
      </c>
      <c r="F141" s="1037"/>
      <c r="G141" s="807">
        <v>61420.325</v>
      </c>
      <c r="H141" s="1024">
        <v>303293.36</v>
      </c>
      <c r="I141" s="483"/>
      <c r="J141" s="1023">
        <f t="shared" si="21"/>
        <v>364713.685</v>
      </c>
      <c r="K141" s="1023">
        <f t="shared" si="22"/>
        <v>5034228.59499999</v>
      </c>
      <c r="L141" s="1023">
        <f t="shared" si="23"/>
        <v>696161.147099998</v>
      </c>
      <c r="M141" s="474">
        <v>12</v>
      </c>
      <c r="N141" s="1029">
        <f t="shared" si="24"/>
        <v>58013.4289249999</v>
      </c>
      <c r="O141" s="806">
        <v>58958.8177066667</v>
      </c>
      <c r="P141" s="806">
        <f t="shared" si="25"/>
        <v>-945.388781666836</v>
      </c>
      <c r="Q141" s="807"/>
      <c r="R141" s="479"/>
      <c r="S141" s="479"/>
    </row>
    <row r="142" ht="15.5" spans="1:19">
      <c r="A142" s="464">
        <v>9</v>
      </c>
      <c r="B142" s="351" t="s">
        <v>252</v>
      </c>
      <c r="C142" s="1023">
        <v>426568.833333334</v>
      </c>
      <c r="D142" s="1021">
        <v>12</v>
      </c>
      <c r="E142" s="1023">
        <f t="shared" si="17"/>
        <v>5118826.00000001</v>
      </c>
      <c r="F142" s="1037"/>
      <c r="G142" s="807">
        <v>0</v>
      </c>
      <c r="H142" s="1024">
        <v>283104.800000001</v>
      </c>
      <c r="I142" s="483"/>
      <c r="J142" s="1023">
        <f t="shared" si="21"/>
        <v>283104.800000001</v>
      </c>
      <c r="K142" s="1023">
        <f t="shared" si="22"/>
        <v>4835721.20000001</v>
      </c>
      <c r="L142" s="1023">
        <f t="shared" si="23"/>
        <v>660429.816000002</v>
      </c>
      <c r="M142" s="474">
        <v>12</v>
      </c>
      <c r="N142" s="1029">
        <f t="shared" si="24"/>
        <v>55035.8180000001</v>
      </c>
      <c r="O142" s="806">
        <v>54799.9741866667</v>
      </c>
      <c r="P142" s="806">
        <f t="shared" si="25"/>
        <v>235.843813333442</v>
      </c>
      <c r="Q142" s="807"/>
      <c r="R142" s="479"/>
      <c r="S142" s="479"/>
    </row>
    <row r="143" ht="15.5" spans="1:19">
      <c r="A143" s="464">
        <v>10</v>
      </c>
      <c r="B143" s="643" t="s">
        <v>253</v>
      </c>
      <c r="C143" s="1023">
        <v>426568.833333334</v>
      </c>
      <c r="D143" s="1021">
        <v>12</v>
      </c>
      <c r="E143" s="1023">
        <f t="shared" si="17"/>
        <v>5118826.00000001</v>
      </c>
      <c r="F143" s="807"/>
      <c r="G143" s="807">
        <v>0</v>
      </c>
      <c r="H143" s="1024">
        <v>283104.800000001</v>
      </c>
      <c r="I143" s="807"/>
      <c r="J143" s="1023">
        <f t="shared" si="21"/>
        <v>283104.800000001</v>
      </c>
      <c r="K143" s="1023">
        <f t="shared" si="22"/>
        <v>4835721.20000001</v>
      </c>
      <c r="L143" s="1023">
        <f t="shared" si="23"/>
        <v>660429.816000002</v>
      </c>
      <c r="M143" s="474">
        <v>12</v>
      </c>
      <c r="N143" s="1029">
        <f t="shared" si="24"/>
        <v>55035.8180000001</v>
      </c>
      <c r="O143" s="806">
        <v>54799.9741866667</v>
      </c>
      <c r="P143" s="806">
        <f t="shared" si="25"/>
        <v>235.843813333442</v>
      </c>
      <c r="Q143" s="807"/>
      <c r="R143" s="479"/>
      <c r="S143" s="479"/>
    </row>
    <row r="144" ht="17" customHeight="1" spans="1:19">
      <c r="A144" s="464">
        <v>11</v>
      </c>
      <c r="B144" s="643" t="s">
        <v>254</v>
      </c>
      <c r="C144" s="1023">
        <v>426568.833333334</v>
      </c>
      <c r="D144" s="1021">
        <v>12</v>
      </c>
      <c r="E144" s="1023">
        <f t="shared" si="17"/>
        <v>5118826.00000001</v>
      </c>
      <c r="F144" s="807"/>
      <c r="G144" s="807">
        <v>0</v>
      </c>
      <c r="H144" s="1024">
        <v>283104.800000001</v>
      </c>
      <c r="I144" s="807"/>
      <c r="J144" s="1023">
        <f t="shared" si="21"/>
        <v>283104.800000001</v>
      </c>
      <c r="K144" s="1023">
        <f t="shared" si="22"/>
        <v>4835721.20000001</v>
      </c>
      <c r="L144" s="1023">
        <f t="shared" si="23"/>
        <v>660429.816000002</v>
      </c>
      <c r="M144" s="474">
        <v>12</v>
      </c>
      <c r="N144" s="1029">
        <f t="shared" si="24"/>
        <v>55035.8180000001</v>
      </c>
      <c r="O144" s="806">
        <v>54799.9741866667</v>
      </c>
      <c r="P144" s="806">
        <f t="shared" si="25"/>
        <v>235.843813333442</v>
      </c>
      <c r="Q144" s="807"/>
      <c r="R144" s="479"/>
      <c r="S144" s="479"/>
    </row>
    <row r="145" ht="15.5" spans="1:19">
      <c r="A145" s="464"/>
      <c r="B145" s="643" t="s">
        <v>120</v>
      </c>
      <c r="C145" s="1025">
        <f>SUM(C134:C144)</f>
        <v>7839526.545</v>
      </c>
      <c r="D145" s="1026"/>
      <c r="E145" s="1025">
        <f t="shared" ref="D145:P145" si="26">SUM(E134:E144)</f>
        <v>94074318.54</v>
      </c>
      <c r="F145" s="1025"/>
      <c r="G145" s="1025">
        <f t="shared" si="26"/>
        <v>332135.95</v>
      </c>
      <c r="H145" s="1025">
        <f t="shared" si="26"/>
        <v>5856040.48</v>
      </c>
      <c r="I145" s="1025"/>
      <c r="J145" s="1025">
        <f t="shared" si="26"/>
        <v>6188176.42999999</v>
      </c>
      <c r="K145" s="1025">
        <f t="shared" si="26"/>
        <v>87886142.1099999</v>
      </c>
      <c r="L145" s="1025">
        <f t="shared" si="26"/>
        <v>13800147.225</v>
      </c>
      <c r="M145" s="1025"/>
      <c r="N145" s="1030">
        <f t="shared" si="26"/>
        <v>1150012.26875</v>
      </c>
      <c r="O145" s="1025">
        <f t="shared" si="26"/>
        <v>1156910.62485333</v>
      </c>
      <c r="P145" s="1025">
        <f t="shared" si="26"/>
        <v>-6898.3561033336</v>
      </c>
      <c r="Q145" s="807"/>
      <c r="R145" s="479"/>
      <c r="S145" s="479"/>
    </row>
    <row r="146" ht="15.5" spans="1:19">
      <c r="A146" s="464"/>
      <c r="B146" s="643"/>
      <c r="C146" s="1023"/>
      <c r="D146" s="1021"/>
      <c r="E146" s="1023"/>
      <c r="F146" s="1023"/>
      <c r="G146" s="1023"/>
      <c r="H146" s="1024"/>
      <c r="I146" s="938"/>
      <c r="J146" s="1023"/>
      <c r="K146" s="1023"/>
      <c r="L146" s="1023"/>
      <c r="M146" s="474"/>
      <c r="N146" s="1029"/>
      <c r="O146" s="806"/>
      <c r="P146" s="806"/>
      <c r="Q146" s="807"/>
      <c r="R146" s="479"/>
      <c r="S146" s="479"/>
    </row>
    <row r="147" ht="15.5" spans="1:19">
      <c r="A147" s="464"/>
      <c r="B147" s="643" t="s">
        <v>255</v>
      </c>
      <c r="C147" s="766"/>
      <c r="D147" s="1021"/>
      <c r="E147" s="1023"/>
      <c r="F147" s="1023"/>
      <c r="G147" s="1023"/>
      <c r="H147" s="1024"/>
      <c r="I147" s="938"/>
      <c r="J147" s="1023"/>
      <c r="K147" s="1023"/>
      <c r="L147" s="1023"/>
      <c r="M147" s="474"/>
      <c r="N147" s="1029"/>
      <c r="O147" s="806"/>
      <c r="P147" s="806"/>
      <c r="Q147" s="807"/>
      <c r="R147" s="479"/>
      <c r="S147" s="479"/>
    </row>
    <row r="148" ht="15.5" spans="1:19">
      <c r="A148" s="464">
        <v>1</v>
      </c>
      <c r="B148" s="643" t="s">
        <v>256</v>
      </c>
      <c r="C148" s="766">
        <v>882595.5</v>
      </c>
      <c r="D148" s="1021">
        <v>12</v>
      </c>
      <c r="E148" s="1023">
        <f t="shared" si="17"/>
        <v>10591146</v>
      </c>
      <c r="F148" s="1023"/>
      <c r="G148" s="1023">
        <v>0</v>
      </c>
      <c r="H148" s="1024">
        <v>693691.68</v>
      </c>
      <c r="I148" s="938"/>
      <c r="J148" s="1023">
        <f t="shared" si="21"/>
        <v>693691.68</v>
      </c>
      <c r="K148" s="1023">
        <f t="shared" si="22"/>
        <v>9897454.32</v>
      </c>
      <c r="L148" s="1023">
        <f t="shared" si="23"/>
        <v>1571541.7776</v>
      </c>
      <c r="M148" s="474">
        <v>12</v>
      </c>
      <c r="N148" s="1029">
        <f t="shared" si="24"/>
        <v>130961.8148</v>
      </c>
      <c r="O148" s="806">
        <v>133160.772906667</v>
      </c>
      <c r="P148" s="806">
        <f t="shared" si="25"/>
        <v>-2198.95810666701</v>
      </c>
      <c r="Q148" s="807"/>
      <c r="R148" s="479"/>
      <c r="S148" s="479"/>
    </row>
    <row r="149" ht="15.5" spans="1:19">
      <c r="A149" s="464">
        <v>2</v>
      </c>
      <c r="B149" s="643" t="s">
        <v>257</v>
      </c>
      <c r="C149" s="766">
        <v>606497.166666667</v>
      </c>
      <c r="D149" s="1021">
        <v>12</v>
      </c>
      <c r="E149" s="1023">
        <f t="shared" si="17"/>
        <v>7277966</v>
      </c>
      <c r="F149" s="1023"/>
      <c r="G149" s="1023">
        <v>93328.325</v>
      </c>
      <c r="H149" s="1024">
        <v>476637.28</v>
      </c>
      <c r="I149" s="938"/>
      <c r="J149" s="1023">
        <f t="shared" si="21"/>
        <v>569965.605</v>
      </c>
      <c r="K149" s="1023">
        <f t="shared" si="22"/>
        <v>6708000.395</v>
      </c>
      <c r="L149" s="1023">
        <f t="shared" si="23"/>
        <v>997440.0711</v>
      </c>
      <c r="M149" s="474">
        <v>12</v>
      </c>
      <c r="N149" s="1029">
        <f t="shared" si="24"/>
        <v>83120.005925</v>
      </c>
      <c r="O149" s="806">
        <v>85044.2001066667</v>
      </c>
      <c r="P149" s="806">
        <f t="shared" si="25"/>
        <v>-1924.19418166671</v>
      </c>
      <c r="Q149" s="807"/>
      <c r="R149" s="479"/>
      <c r="S149" s="479"/>
    </row>
    <row r="150" ht="15.5" spans="1:19">
      <c r="A150" s="464">
        <v>3</v>
      </c>
      <c r="B150" s="643" t="s">
        <v>260</v>
      </c>
      <c r="C150" s="766">
        <v>578828.166666667</v>
      </c>
      <c r="D150" s="1021">
        <v>12</v>
      </c>
      <c r="E150" s="1023">
        <f t="shared" si="17"/>
        <v>6945938</v>
      </c>
      <c r="F150" s="1023"/>
      <c r="G150" s="1023">
        <v>0</v>
      </c>
      <c r="H150" s="1024">
        <v>450075.04</v>
      </c>
      <c r="I150" s="938"/>
      <c r="J150" s="1023">
        <f t="shared" si="21"/>
        <v>450075.04</v>
      </c>
      <c r="K150" s="1023">
        <f t="shared" si="22"/>
        <v>6495862.96</v>
      </c>
      <c r="L150" s="1023">
        <f t="shared" si="23"/>
        <v>959255.3328</v>
      </c>
      <c r="M150" s="474">
        <v>12</v>
      </c>
      <c r="N150" s="1029"/>
      <c r="O150" s="806">
        <v>82600.4740266667</v>
      </c>
      <c r="P150" s="806">
        <f t="shared" si="25"/>
        <v>-82600.4740266667</v>
      </c>
      <c r="Q150" s="807"/>
      <c r="R150" s="479"/>
      <c r="S150" s="479"/>
    </row>
    <row r="151" ht="15.5" spans="1:19">
      <c r="A151" s="464">
        <v>4</v>
      </c>
      <c r="B151" s="643" t="s">
        <v>261</v>
      </c>
      <c r="C151" s="766">
        <v>438711.666666667</v>
      </c>
      <c r="D151" s="1021">
        <v>12</v>
      </c>
      <c r="E151" s="1023">
        <f t="shared" si="17"/>
        <v>5264540</v>
      </c>
      <c r="F151" s="1023"/>
      <c r="G151" s="1023">
        <v>65320.0250000001</v>
      </c>
      <c r="H151" s="1024">
        <v>325163.2</v>
      </c>
      <c r="I151" s="938"/>
      <c r="J151" s="1023">
        <f t="shared" si="21"/>
        <v>390483.225</v>
      </c>
      <c r="K151" s="1023">
        <f t="shared" si="22"/>
        <v>4874056.775</v>
      </c>
      <c r="L151" s="1023">
        <f t="shared" si="23"/>
        <v>667330.2195</v>
      </c>
      <c r="M151" s="474">
        <v>12</v>
      </c>
      <c r="N151" s="1029">
        <f t="shared" si="24"/>
        <v>55610.851625</v>
      </c>
      <c r="O151" s="806">
        <v>56229.7738666667</v>
      </c>
      <c r="P151" s="806">
        <f t="shared" si="25"/>
        <v>-618.922241666689</v>
      </c>
      <c r="Q151" s="807"/>
      <c r="R151" s="479"/>
      <c r="S151" s="479"/>
    </row>
    <row r="152" ht="15.5" spans="1:19">
      <c r="A152" s="464">
        <v>5</v>
      </c>
      <c r="B152" s="643" t="s">
        <v>262</v>
      </c>
      <c r="C152" s="766">
        <v>438711.666666667</v>
      </c>
      <c r="D152" s="1021">
        <v>12</v>
      </c>
      <c r="E152" s="1023">
        <f t="shared" si="17"/>
        <v>5264540</v>
      </c>
      <c r="F152" s="1023"/>
      <c r="G152" s="1023">
        <v>65320.0250000001</v>
      </c>
      <c r="H152" s="1024">
        <v>325163.2</v>
      </c>
      <c r="I152" s="938"/>
      <c r="J152" s="1023">
        <f t="shared" si="21"/>
        <v>390483.225</v>
      </c>
      <c r="K152" s="1023">
        <f t="shared" si="22"/>
        <v>4874056.775</v>
      </c>
      <c r="L152" s="1023">
        <f t="shared" si="23"/>
        <v>667330.2195</v>
      </c>
      <c r="M152" s="474">
        <v>12</v>
      </c>
      <c r="N152" s="1029">
        <f t="shared" si="24"/>
        <v>55610.851625</v>
      </c>
      <c r="O152" s="806">
        <v>56229.7738666667</v>
      </c>
      <c r="P152" s="806">
        <f t="shared" si="25"/>
        <v>-618.922241666689</v>
      </c>
      <c r="Q152" s="807"/>
      <c r="R152" s="479"/>
      <c r="S152" s="479"/>
    </row>
    <row r="153" ht="15.5" spans="1:19">
      <c r="A153" s="464">
        <v>6</v>
      </c>
      <c r="B153" s="643" t="s">
        <v>263</v>
      </c>
      <c r="C153" s="1023">
        <v>438711.666666667</v>
      </c>
      <c r="D153" s="1021">
        <v>12</v>
      </c>
      <c r="E153" s="1023">
        <f t="shared" si="17"/>
        <v>5264540</v>
      </c>
      <c r="F153" s="807"/>
      <c r="G153" s="807">
        <v>65320.0250000001</v>
      </c>
      <c r="H153" s="1024">
        <v>325163.2</v>
      </c>
      <c r="I153" s="807"/>
      <c r="J153" s="1023">
        <f t="shared" si="21"/>
        <v>390483.225</v>
      </c>
      <c r="K153" s="1023">
        <f t="shared" si="22"/>
        <v>4874056.775</v>
      </c>
      <c r="L153" s="1023">
        <f t="shared" si="23"/>
        <v>667330.2195</v>
      </c>
      <c r="M153" s="474">
        <v>12</v>
      </c>
      <c r="N153" s="1029">
        <f t="shared" si="24"/>
        <v>55610.851625</v>
      </c>
      <c r="O153" s="806">
        <v>56229.7738666667</v>
      </c>
      <c r="P153" s="806">
        <f t="shared" si="25"/>
        <v>-618.922241666689</v>
      </c>
      <c r="Q153" s="807"/>
      <c r="R153" s="479"/>
      <c r="S153" s="479"/>
    </row>
    <row r="154" ht="15.5" spans="1:19">
      <c r="A154" s="464">
        <v>7</v>
      </c>
      <c r="B154" s="643" t="s">
        <v>264</v>
      </c>
      <c r="C154" s="1023">
        <v>438711.666666667</v>
      </c>
      <c r="D154" s="1021">
        <v>12</v>
      </c>
      <c r="E154" s="1023">
        <f t="shared" si="17"/>
        <v>5264540</v>
      </c>
      <c r="F154" s="1023"/>
      <c r="G154" s="1023">
        <v>65320.0250000001</v>
      </c>
      <c r="H154" s="1024">
        <v>325163.2</v>
      </c>
      <c r="I154" s="938"/>
      <c r="J154" s="1023">
        <f t="shared" si="21"/>
        <v>390483.225</v>
      </c>
      <c r="K154" s="1023">
        <f t="shared" si="22"/>
        <v>4874056.775</v>
      </c>
      <c r="L154" s="1023">
        <f t="shared" si="23"/>
        <v>667330.2195</v>
      </c>
      <c r="M154" s="474">
        <v>12</v>
      </c>
      <c r="N154" s="1029">
        <f t="shared" si="24"/>
        <v>55610.851625</v>
      </c>
      <c r="O154" s="806">
        <v>56229.7738666667</v>
      </c>
      <c r="P154" s="806">
        <f t="shared" si="25"/>
        <v>-618.922241666689</v>
      </c>
      <c r="Q154" s="807"/>
      <c r="R154" s="479"/>
      <c r="S154" s="479"/>
    </row>
    <row r="155" ht="15.5" spans="1:19">
      <c r="A155" s="464">
        <v>8</v>
      </c>
      <c r="B155" s="643" t="s">
        <v>265</v>
      </c>
      <c r="C155" s="1023">
        <v>394900.833333334</v>
      </c>
      <c r="D155" s="1021">
        <v>12</v>
      </c>
      <c r="E155" s="1023">
        <f t="shared" si="17"/>
        <v>4738810.00000001</v>
      </c>
      <c r="F155" s="1023"/>
      <c r="G155" s="1023">
        <v>57653.8250000001</v>
      </c>
      <c r="H155" s="1024">
        <v>283104.800000001</v>
      </c>
      <c r="I155" s="938"/>
      <c r="J155" s="1023">
        <f t="shared" si="21"/>
        <v>340758.625000001</v>
      </c>
      <c r="K155" s="1023">
        <f t="shared" si="22"/>
        <v>4398051.37500001</v>
      </c>
      <c r="L155" s="1023">
        <f t="shared" si="23"/>
        <v>581649.247500002</v>
      </c>
      <c r="M155" s="474">
        <v>12</v>
      </c>
      <c r="N155" s="1029">
        <f t="shared" si="24"/>
        <v>48470.7706250001</v>
      </c>
      <c r="O155" s="806">
        <v>48719.7181866667</v>
      </c>
      <c r="P155" s="806">
        <f t="shared" si="25"/>
        <v>-248.947561666559</v>
      </c>
      <c r="Q155" s="807"/>
      <c r="R155" s="479"/>
      <c r="S155" s="479"/>
    </row>
    <row r="156" ht="15" spans="1:19">
      <c r="A156" s="464"/>
      <c r="B156" s="864" t="s">
        <v>120</v>
      </c>
      <c r="C156" s="1025">
        <f>SUM(C148:C155)</f>
        <v>4217668.33333334</v>
      </c>
      <c r="D156" s="1026"/>
      <c r="E156" s="1025">
        <f t="shared" ref="D156:P156" si="27">SUM(E148:E155)</f>
        <v>50612020</v>
      </c>
      <c r="F156" s="1025"/>
      <c r="G156" s="1025">
        <f t="shared" si="27"/>
        <v>412262.25</v>
      </c>
      <c r="H156" s="1025">
        <f t="shared" si="27"/>
        <v>3204161.6</v>
      </c>
      <c r="I156" s="1025"/>
      <c r="J156" s="1025">
        <f t="shared" si="27"/>
        <v>3616423.85</v>
      </c>
      <c r="K156" s="1025">
        <f t="shared" si="27"/>
        <v>46995596.15</v>
      </c>
      <c r="L156" s="1025">
        <f t="shared" si="27"/>
        <v>6779207.307</v>
      </c>
      <c r="M156" s="1025"/>
      <c r="N156" s="1030">
        <f t="shared" si="27"/>
        <v>484995.99785</v>
      </c>
      <c r="O156" s="1025">
        <f t="shared" si="27"/>
        <v>574444.260693334</v>
      </c>
      <c r="P156" s="1025">
        <f t="shared" si="27"/>
        <v>-89448.2628433337</v>
      </c>
      <c r="Q156" s="807"/>
      <c r="R156" s="479"/>
      <c r="S156" s="479"/>
    </row>
    <row r="157" ht="15" spans="1:19">
      <c r="A157" s="464"/>
      <c r="B157" s="864"/>
      <c r="C157" s="1023"/>
      <c r="D157" s="1021"/>
      <c r="E157" s="1023"/>
      <c r="F157" s="1037"/>
      <c r="G157" s="1037"/>
      <c r="H157" s="483"/>
      <c r="I157" s="483"/>
      <c r="J157" s="1023"/>
      <c r="K157" s="1023"/>
      <c r="L157" s="1023"/>
      <c r="M157" s="474"/>
      <c r="N157" s="1029"/>
      <c r="O157" s="806"/>
      <c r="P157" s="806"/>
      <c r="Q157" s="807"/>
      <c r="R157" s="479"/>
      <c r="S157" s="479"/>
    </row>
    <row r="158" ht="15" spans="1:19">
      <c r="A158" s="464"/>
      <c r="B158" s="864" t="s">
        <v>267</v>
      </c>
      <c r="C158" s="1023"/>
      <c r="D158" s="1021"/>
      <c r="E158" s="1023"/>
      <c r="F158" s="1037"/>
      <c r="G158" s="1037"/>
      <c r="H158" s="483"/>
      <c r="I158" s="483"/>
      <c r="J158" s="1023"/>
      <c r="K158" s="1023"/>
      <c r="L158" s="1023"/>
      <c r="M158" s="474"/>
      <c r="N158" s="1029"/>
      <c r="O158" s="806"/>
      <c r="P158" s="806"/>
      <c r="Q158" s="807"/>
      <c r="R158" s="479"/>
      <c r="S158" s="479"/>
    </row>
    <row r="159" ht="15.5" spans="1:19">
      <c r="A159" s="464">
        <v>1</v>
      </c>
      <c r="B159" s="643" t="s">
        <v>268</v>
      </c>
      <c r="C159" s="1023">
        <v>441140.666666666</v>
      </c>
      <c r="D159" s="1021">
        <v>12</v>
      </c>
      <c r="E159" s="1023">
        <f t="shared" si="17"/>
        <v>5293687.99999999</v>
      </c>
      <c r="F159" s="1037"/>
      <c r="G159" s="1037">
        <v>0</v>
      </c>
      <c r="H159" s="483">
        <v>365895.039999999</v>
      </c>
      <c r="I159" s="483"/>
      <c r="J159" s="1023">
        <f t="shared" si="21"/>
        <v>365895.039999999</v>
      </c>
      <c r="K159" s="1023">
        <f t="shared" si="22"/>
        <v>4927792.95999999</v>
      </c>
      <c r="L159" s="1023">
        <f t="shared" si="23"/>
        <v>677002.732799998</v>
      </c>
      <c r="M159" s="474">
        <v>12</v>
      </c>
      <c r="N159" s="1029">
        <f t="shared" si="24"/>
        <v>56416.8943999999</v>
      </c>
      <c r="O159" s="806">
        <v>55922.4183466667</v>
      </c>
      <c r="P159" s="806">
        <f t="shared" si="25"/>
        <v>494.47605333315</v>
      </c>
      <c r="Q159" s="807"/>
      <c r="R159" s="479"/>
      <c r="S159" s="479"/>
    </row>
    <row r="160" ht="15.5" spans="1:19">
      <c r="A160" s="464">
        <v>2</v>
      </c>
      <c r="B160" s="643" t="s">
        <v>270</v>
      </c>
      <c r="C160" s="1023">
        <v>398711.666666667</v>
      </c>
      <c r="D160" s="1021">
        <v>12</v>
      </c>
      <c r="E160" s="1023">
        <f t="shared" si="17"/>
        <v>4784540</v>
      </c>
      <c r="F160" s="1037"/>
      <c r="G160" s="1037">
        <v>0</v>
      </c>
      <c r="H160" s="483">
        <v>325163.2</v>
      </c>
      <c r="I160" s="483"/>
      <c r="J160" s="1023">
        <f t="shared" si="21"/>
        <v>325163.2</v>
      </c>
      <c r="K160" s="1023">
        <f t="shared" si="22"/>
        <v>4459376.8</v>
      </c>
      <c r="L160" s="1023">
        <f t="shared" si="23"/>
        <v>592687.824</v>
      </c>
      <c r="M160" s="474">
        <v>12</v>
      </c>
      <c r="N160" s="1029">
        <f t="shared" si="24"/>
        <v>49390.652</v>
      </c>
      <c r="O160" s="806">
        <v>48549.7738666667</v>
      </c>
      <c r="P160" s="806">
        <f t="shared" si="25"/>
        <v>840.878133333303</v>
      </c>
      <c r="Q160" s="807"/>
      <c r="R160" s="479"/>
      <c r="S160" s="479"/>
    </row>
    <row r="161" ht="15.5" spans="1:19">
      <c r="A161" s="464">
        <v>3</v>
      </c>
      <c r="B161" s="351" t="s">
        <v>272</v>
      </c>
      <c r="C161" s="1023">
        <v>344900.833333334</v>
      </c>
      <c r="D161" s="1021">
        <v>12</v>
      </c>
      <c r="E161" s="1023">
        <f t="shared" si="17"/>
        <v>4138810.00000001</v>
      </c>
      <c r="F161" s="807"/>
      <c r="G161" s="807">
        <v>0</v>
      </c>
      <c r="H161" s="807">
        <v>283104.800000001</v>
      </c>
      <c r="I161" s="807"/>
      <c r="J161" s="1023">
        <f t="shared" si="21"/>
        <v>283104.800000001</v>
      </c>
      <c r="K161" s="1023">
        <f t="shared" si="22"/>
        <v>3855705.20000001</v>
      </c>
      <c r="L161" s="1023">
        <f t="shared" si="23"/>
        <v>484026.936000002</v>
      </c>
      <c r="M161" s="474">
        <v>12</v>
      </c>
      <c r="N161" s="1029">
        <f t="shared" si="24"/>
        <v>40335.5780000001</v>
      </c>
      <c r="O161" s="806">
        <v>40063.0867466667</v>
      </c>
      <c r="P161" s="806">
        <f t="shared" si="25"/>
        <v>272.491253333428</v>
      </c>
      <c r="Q161" s="807"/>
      <c r="R161" s="479"/>
      <c r="S161" s="479"/>
    </row>
    <row r="162" ht="15.5" spans="1:19">
      <c r="A162" s="464">
        <v>4</v>
      </c>
      <c r="B162" s="643" t="s">
        <v>274</v>
      </c>
      <c r="C162" s="1023">
        <v>337890.916666667</v>
      </c>
      <c r="D162" s="1021">
        <v>12</v>
      </c>
      <c r="E162" s="1023">
        <f t="shared" si="17"/>
        <v>4054691</v>
      </c>
      <c r="F162" s="807"/>
      <c r="G162" s="807">
        <v>0</v>
      </c>
      <c r="H162" s="807">
        <v>276375.28</v>
      </c>
      <c r="I162" s="807"/>
      <c r="J162" s="1023">
        <f t="shared" si="21"/>
        <v>276375.28</v>
      </c>
      <c r="K162" s="1023">
        <f t="shared" si="22"/>
        <v>3778315.72</v>
      </c>
      <c r="L162" s="1023">
        <f t="shared" si="23"/>
        <v>470096.8296</v>
      </c>
      <c r="M162" s="474">
        <v>12</v>
      </c>
      <c r="N162" s="1029">
        <f t="shared" si="24"/>
        <v>39174.7358</v>
      </c>
      <c r="O162" s="806">
        <v>40063.0867466667</v>
      </c>
      <c r="P162" s="806">
        <f t="shared" si="25"/>
        <v>-888.350946666702</v>
      </c>
      <c r="Q162" s="807"/>
      <c r="R162" s="479"/>
      <c r="S162" s="479"/>
    </row>
    <row r="163" ht="15.5" spans="1:19">
      <c r="A163" s="464">
        <v>5</v>
      </c>
      <c r="B163" s="643" t="s">
        <v>277</v>
      </c>
      <c r="C163" s="1023">
        <v>344900.833333334</v>
      </c>
      <c r="D163" s="1021">
        <v>12</v>
      </c>
      <c r="E163" s="1023">
        <f t="shared" si="17"/>
        <v>4138810.00000001</v>
      </c>
      <c r="F163" s="1023"/>
      <c r="G163" s="1023">
        <v>0</v>
      </c>
      <c r="H163" s="1024">
        <v>283104.800000001</v>
      </c>
      <c r="I163" s="938"/>
      <c r="J163" s="1023">
        <f t="shared" si="21"/>
        <v>283104.800000001</v>
      </c>
      <c r="K163" s="1023">
        <f t="shared" si="22"/>
        <v>3855705.20000001</v>
      </c>
      <c r="L163" s="1023">
        <f t="shared" si="23"/>
        <v>484026.936000002</v>
      </c>
      <c r="M163" s="474">
        <v>12</v>
      </c>
      <c r="N163" s="1029">
        <f t="shared" si="24"/>
        <v>40335.5780000001</v>
      </c>
      <c r="O163" s="806">
        <v>40063.0867466667</v>
      </c>
      <c r="P163" s="806">
        <f t="shared" si="25"/>
        <v>272.491253333428</v>
      </c>
      <c r="Q163" s="807"/>
      <c r="R163" s="479"/>
      <c r="S163" s="479"/>
    </row>
    <row r="164" ht="15.5" spans="1:19">
      <c r="A164" s="464"/>
      <c r="B164" s="643" t="s">
        <v>120</v>
      </c>
      <c r="C164" s="1025">
        <f>SUM(C159:C163)</f>
        <v>1867544.91666667</v>
      </c>
      <c r="D164" s="1026"/>
      <c r="E164" s="1025">
        <f t="shared" ref="D164:P164" si="28">SUM(E159:E163)</f>
        <v>22410539</v>
      </c>
      <c r="F164" s="1025"/>
      <c r="G164" s="1025">
        <f t="shared" si="28"/>
        <v>0</v>
      </c>
      <c r="H164" s="1025">
        <f t="shared" si="28"/>
        <v>1533643.12</v>
      </c>
      <c r="I164" s="1025"/>
      <c r="J164" s="1025">
        <f t="shared" si="28"/>
        <v>1533643.12</v>
      </c>
      <c r="K164" s="1025">
        <f t="shared" si="28"/>
        <v>20876895.88</v>
      </c>
      <c r="L164" s="1025">
        <f t="shared" si="28"/>
        <v>2707841.2584</v>
      </c>
      <c r="M164" s="1025"/>
      <c r="N164" s="1030">
        <f t="shared" si="28"/>
        <v>225653.4382</v>
      </c>
      <c r="O164" s="1025">
        <f t="shared" si="28"/>
        <v>224661.452453333</v>
      </c>
      <c r="P164" s="1025">
        <f t="shared" si="28"/>
        <v>991.985746666607</v>
      </c>
      <c r="Q164" s="807"/>
      <c r="R164" s="479"/>
      <c r="S164" s="479"/>
    </row>
    <row r="165" ht="15.5" spans="1:19">
      <c r="A165" s="464"/>
      <c r="B165" s="639"/>
      <c r="C165" s="1023"/>
      <c r="D165" s="1021"/>
      <c r="E165" s="1023"/>
      <c r="F165" s="1023"/>
      <c r="G165" s="1023"/>
      <c r="H165" s="1024"/>
      <c r="I165" s="938"/>
      <c r="J165" s="1023"/>
      <c r="K165" s="1023"/>
      <c r="L165" s="1023"/>
      <c r="M165" s="474"/>
      <c r="N165" s="1029"/>
      <c r="O165" s="806"/>
      <c r="P165" s="806"/>
      <c r="Q165" s="807"/>
      <c r="R165" s="479"/>
      <c r="S165" s="479"/>
    </row>
    <row r="166" ht="15.5" spans="1:19">
      <c r="A166" s="464"/>
      <c r="B166" s="643" t="s">
        <v>279</v>
      </c>
      <c r="C166" s="1023"/>
      <c r="D166" s="1021"/>
      <c r="E166" s="1023"/>
      <c r="F166" s="1023"/>
      <c r="G166" s="1023"/>
      <c r="H166" s="1024"/>
      <c r="I166" s="938"/>
      <c r="J166" s="1023"/>
      <c r="K166" s="1023"/>
      <c r="L166" s="1023"/>
      <c r="M166" s="474"/>
      <c r="N166" s="1029"/>
      <c r="O166" s="806"/>
      <c r="P166" s="806"/>
      <c r="Q166" s="807"/>
      <c r="R166" s="479"/>
      <c r="S166" s="479"/>
    </row>
    <row r="167" ht="15.5" spans="1:19">
      <c r="A167" s="464">
        <v>1</v>
      </c>
      <c r="B167" s="643" t="s">
        <v>280</v>
      </c>
      <c r="C167" s="1023">
        <v>1947106.41666666</v>
      </c>
      <c r="D167" s="1021">
        <v>12</v>
      </c>
      <c r="E167" s="1023">
        <f t="shared" ref="E165:E233" si="29">C167*D167</f>
        <v>23365276.9999999</v>
      </c>
      <c r="F167" s="1023"/>
      <c r="G167" s="1023">
        <v>326033.124999999</v>
      </c>
      <c r="H167" s="1024">
        <v>1677222.15999999</v>
      </c>
      <c r="I167" s="938"/>
      <c r="J167" s="1023">
        <f t="shared" si="21"/>
        <v>2003255.28499999</v>
      </c>
      <c r="K167" s="1023">
        <f t="shared" si="22"/>
        <v>21362021.7149999</v>
      </c>
      <c r="L167" s="1023">
        <f t="shared" si="23"/>
        <v>3916024.56014999</v>
      </c>
      <c r="M167" s="474">
        <v>12</v>
      </c>
      <c r="N167" s="1029">
        <f t="shared" si="24"/>
        <v>326335.380012499</v>
      </c>
      <c r="O167" s="806">
        <v>320459.014106665</v>
      </c>
      <c r="P167" s="806">
        <f t="shared" si="25"/>
        <v>5876.36590583378</v>
      </c>
      <c r="Q167" s="807"/>
      <c r="R167" s="479"/>
      <c r="S167" s="479"/>
    </row>
    <row r="168" ht="15.5" spans="1:19">
      <c r="A168" s="464">
        <v>2</v>
      </c>
      <c r="B168" s="643" t="s">
        <v>282</v>
      </c>
      <c r="C168" s="1023">
        <v>1095306.75</v>
      </c>
      <c r="D168" s="1021">
        <v>12</v>
      </c>
      <c r="E168" s="1023">
        <f t="shared" si="29"/>
        <v>13143681</v>
      </c>
      <c r="F168" s="1023"/>
      <c r="G168" s="766">
        <v>166400.85</v>
      </c>
      <c r="H168" s="1024">
        <v>869094.48</v>
      </c>
      <c r="I168" s="938"/>
      <c r="J168" s="1023">
        <f t="shared" si="21"/>
        <v>1035495.33</v>
      </c>
      <c r="K168" s="1023">
        <f t="shared" si="22"/>
        <v>12108185.67</v>
      </c>
      <c r="L168" s="1023">
        <f t="shared" si="23"/>
        <v>1972718.9907</v>
      </c>
      <c r="M168" s="474">
        <v>12</v>
      </c>
      <c r="N168" s="1029">
        <f t="shared" si="24"/>
        <v>164393.249225</v>
      </c>
      <c r="O168" s="806">
        <v>172397.637386667</v>
      </c>
      <c r="P168" s="806">
        <f t="shared" si="25"/>
        <v>-8004.38816166698</v>
      </c>
      <c r="Q168" s="807"/>
      <c r="R168" s="479"/>
      <c r="S168" s="479"/>
    </row>
    <row r="169" ht="15.5" spans="1:19">
      <c r="A169" s="464">
        <v>3</v>
      </c>
      <c r="B169" s="643" t="s">
        <v>284</v>
      </c>
      <c r="C169" s="1023">
        <v>1125306.75</v>
      </c>
      <c r="D169" s="1021">
        <v>12</v>
      </c>
      <c r="E169" s="1023">
        <f t="shared" si="29"/>
        <v>13503681</v>
      </c>
      <c r="F169" s="1023"/>
      <c r="G169" s="766">
        <v>166400.85</v>
      </c>
      <c r="H169" s="1024">
        <v>869094.48</v>
      </c>
      <c r="I169" s="938"/>
      <c r="J169" s="1023">
        <f t="shared" si="21"/>
        <v>1035495.33</v>
      </c>
      <c r="K169" s="1023">
        <f t="shared" si="22"/>
        <v>12468185.67</v>
      </c>
      <c r="L169" s="1023">
        <f t="shared" si="23"/>
        <v>2048318.9907</v>
      </c>
      <c r="M169" s="474">
        <v>12</v>
      </c>
      <c r="N169" s="1029">
        <f t="shared" si="24"/>
        <v>170693.249225</v>
      </c>
      <c r="O169" s="806">
        <v>174066.481226667</v>
      </c>
      <c r="P169" s="806">
        <f t="shared" si="25"/>
        <v>-3373.232001667</v>
      </c>
      <c r="Q169" s="807"/>
      <c r="R169" s="479"/>
      <c r="S169" s="479"/>
    </row>
    <row r="170" ht="15.5" spans="1:19">
      <c r="A170" s="464">
        <v>4</v>
      </c>
      <c r="B170" s="351" t="s">
        <v>285</v>
      </c>
      <c r="C170" s="1023">
        <v>802595.5</v>
      </c>
      <c r="D170" s="1021">
        <v>12</v>
      </c>
      <c r="E170" s="1023">
        <f t="shared" si="29"/>
        <v>9631146</v>
      </c>
      <c r="F170" s="1023"/>
      <c r="G170" s="1023">
        <v>0</v>
      </c>
      <c r="H170" s="1024">
        <v>693691.68</v>
      </c>
      <c r="I170" s="938"/>
      <c r="J170" s="1023">
        <f t="shared" si="21"/>
        <v>693691.68</v>
      </c>
      <c r="K170" s="1023">
        <f t="shared" si="22"/>
        <v>8937454.32</v>
      </c>
      <c r="L170" s="1023">
        <f t="shared" si="23"/>
        <v>1398741.7776</v>
      </c>
      <c r="M170" s="474">
        <v>12</v>
      </c>
      <c r="N170" s="1029">
        <f t="shared" si="24"/>
        <v>116561.8148</v>
      </c>
      <c r="O170" s="806">
        <v>119506.607146667</v>
      </c>
      <c r="P170" s="806">
        <f t="shared" si="25"/>
        <v>-2944.792346667</v>
      </c>
      <c r="Q170" s="807"/>
      <c r="R170" s="479"/>
      <c r="S170" s="479"/>
    </row>
    <row r="171" ht="15.5" spans="1:19">
      <c r="A171" s="464">
        <v>5</v>
      </c>
      <c r="B171" s="351" t="s">
        <v>287</v>
      </c>
      <c r="C171" s="1023">
        <v>780713.916666666</v>
      </c>
      <c r="D171" s="1021">
        <v>12</v>
      </c>
      <c r="E171" s="1023">
        <f t="shared" si="29"/>
        <v>9368566.99999999</v>
      </c>
      <c r="F171" s="1023"/>
      <c r="G171" s="1023">
        <v>0</v>
      </c>
      <c r="H171" s="1024">
        <v>672685.359999999</v>
      </c>
      <c r="I171" s="938"/>
      <c r="J171" s="1023">
        <f t="shared" si="21"/>
        <v>672685.359999999</v>
      </c>
      <c r="K171" s="1023">
        <f t="shared" si="22"/>
        <v>8695881.63999999</v>
      </c>
      <c r="L171" s="1023">
        <f t="shared" si="23"/>
        <v>1355258.6952</v>
      </c>
      <c r="M171" s="474">
        <v>12</v>
      </c>
      <c r="N171" s="1029">
        <f t="shared" si="24"/>
        <v>112938.2246</v>
      </c>
      <c r="O171" s="806">
        <v>119506.607146667</v>
      </c>
      <c r="P171" s="806">
        <f t="shared" si="25"/>
        <v>-6568.38254666711</v>
      </c>
      <c r="Q171" s="807"/>
      <c r="R171" s="479"/>
      <c r="S171" s="479"/>
    </row>
    <row r="172" ht="15.5" spans="1:19">
      <c r="A172" s="464">
        <v>6</v>
      </c>
      <c r="B172" s="351" t="s">
        <v>288</v>
      </c>
      <c r="C172" s="1023">
        <v>643911.083333334</v>
      </c>
      <c r="D172" s="1021">
        <v>12</v>
      </c>
      <c r="E172" s="1023">
        <f t="shared" si="29"/>
        <v>7726933.00000001</v>
      </c>
      <c r="F172" s="1023"/>
      <c r="G172" s="1023">
        <v>107120</v>
      </c>
      <c r="H172" s="1024">
        <v>550954.640000001</v>
      </c>
      <c r="I172" s="938"/>
      <c r="J172" s="1023">
        <f t="shared" si="21"/>
        <v>658074.640000001</v>
      </c>
      <c r="K172" s="1023">
        <f t="shared" si="22"/>
        <v>7068858.36000001</v>
      </c>
      <c r="L172" s="1023">
        <f t="shared" si="23"/>
        <v>1062394.5048</v>
      </c>
      <c r="M172" s="474">
        <v>12</v>
      </c>
      <c r="N172" s="1029">
        <f t="shared" si="24"/>
        <v>88532.8754000001</v>
      </c>
      <c r="O172" s="806">
        <v>89031.9400266667</v>
      </c>
      <c r="P172" s="806">
        <f t="shared" si="25"/>
        <v>-499.064626666615</v>
      </c>
      <c r="Q172" s="807"/>
      <c r="R172" s="479"/>
      <c r="S172" s="479"/>
    </row>
    <row r="173" ht="15.5" spans="1:19">
      <c r="A173" s="464">
        <v>7</v>
      </c>
      <c r="B173" s="351" t="s">
        <v>290</v>
      </c>
      <c r="C173" s="1023">
        <v>659657</v>
      </c>
      <c r="D173" s="1021">
        <v>12</v>
      </c>
      <c r="E173" s="1023">
        <f t="shared" si="29"/>
        <v>7915884</v>
      </c>
      <c r="F173" s="1023"/>
      <c r="G173" s="1023">
        <v>109925.25</v>
      </c>
      <c r="H173" s="1024">
        <v>566070.72</v>
      </c>
      <c r="I173" s="938"/>
      <c r="J173" s="1023">
        <f t="shared" si="21"/>
        <v>675995.97</v>
      </c>
      <c r="K173" s="1023">
        <f t="shared" si="22"/>
        <v>7239888.03</v>
      </c>
      <c r="L173" s="1023">
        <f t="shared" si="23"/>
        <v>1093179.8454</v>
      </c>
      <c r="M173" s="474">
        <v>12</v>
      </c>
      <c r="N173" s="1029">
        <f t="shared" si="24"/>
        <v>91098.32045</v>
      </c>
      <c r="O173" s="806">
        <v>91768.4004266668</v>
      </c>
      <c r="P173" s="806">
        <f t="shared" si="25"/>
        <v>-670.079976666806</v>
      </c>
      <c r="Q173" s="807"/>
      <c r="R173" s="479"/>
      <c r="S173" s="479"/>
    </row>
    <row r="174" ht="15.5" spans="1:19">
      <c r="A174" s="464">
        <v>8</v>
      </c>
      <c r="B174" s="351" t="s">
        <v>291</v>
      </c>
      <c r="C174" s="1023">
        <v>398711.666666667</v>
      </c>
      <c r="D174" s="1021">
        <v>12</v>
      </c>
      <c r="E174" s="1023">
        <f t="shared" si="29"/>
        <v>4784540</v>
      </c>
      <c r="F174" s="1023"/>
      <c r="G174" s="1023">
        <v>0</v>
      </c>
      <c r="H174" s="1024">
        <v>325163.2</v>
      </c>
      <c r="I174" s="938"/>
      <c r="J174" s="1023">
        <f t="shared" si="21"/>
        <v>325163.2</v>
      </c>
      <c r="K174" s="1023">
        <f t="shared" si="22"/>
        <v>4459376.8</v>
      </c>
      <c r="L174" s="1023">
        <f t="shared" si="23"/>
        <v>592687.824000001</v>
      </c>
      <c r="M174" s="474">
        <v>12</v>
      </c>
      <c r="N174" s="1029">
        <f t="shared" si="24"/>
        <v>49390.6520000001</v>
      </c>
      <c r="O174" s="806">
        <v>48549.7738666667</v>
      </c>
      <c r="P174" s="806">
        <f t="shared" si="25"/>
        <v>840.878133333354</v>
      </c>
      <c r="Q174" s="807"/>
      <c r="R174" s="479"/>
      <c r="S174" s="479"/>
    </row>
    <row r="175" ht="15.5" spans="1:19">
      <c r="A175" s="464">
        <v>9</v>
      </c>
      <c r="B175" s="351" t="s">
        <v>293</v>
      </c>
      <c r="C175" s="1023">
        <v>432145.333333333</v>
      </c>
      <c r="D175" s="1021">
        <v>12</v>
      </c>
      <c r="E175" s="1023">
        <f t="shared" si="29"/>
        <v>5185744</v>
      </c>
      <c r="F175" s="1023"/>
      <c r="G175" s="1023">
        <v>0</v>
      </c>
      <c r="H175" s="1024">
        <v>357259.52</v>
      </c>
      <c r="I175" s="938"/>
      <c r="J175" s="1023">
        <f t="shared" si="21"/>
        <v>357259.52</v>
      </c>
      <c r="K175" s="1023">
        <f t="shared" si="22"/>
        <v>4828484.48</v>
      </c>
      <c r="L175" s="1023">
        <f t="shared" si="23"/>
        <v>659127.206399999</v>
      </c>
      <c r="M175" s="474">
        <v>12</v>
      </c>
      <c r="N175" s="1029">
        <f t="shared" si="24"/>
        <v>54927.2671999999</v>
      </c>
      <c r="O175" s="806">
        <v>56180.8452266666</v>
      </c>
      <c r="P175" s="806">
        <f t="shared" si="25"/>
        <v>-1253.57802666666</v>
      </c>
      <c r="Q175" s="807"/>
      <c r="R175" s="479"/>
      <c r="S175" s="479"/>
    </row>
    <row r="176" ht="15.5" spans="1:19">
      <c r="A176" s="464">
        <v>10</v>
      </c>
      <c r="B176" s="351" t="s">
        <v>295</v>
      </c>
      <c r="C176" s="1023">
        <v>358920.666666667</v>
      </c>
      <c r="D176" s="1021">
        <v>12</v>
      </c>
      <c r="E176" s="1023">
        <f t="shared" si="29"/>
        <v>4307048</v>
      </c>
      <c r="F176" s="1023"/>
      <c r="G176" s="1023">
        <v>60164.8250000001</v>
      </c>
      <c r="H176" s="1024">
        <v>296563.84</v>
      </c>
      <c r="I176" s="938"/>
      <c r="J176" s="1023">
        <f t="shared" si="21"/>
        <v>356728.665</v>
      </c>
      <c r="K176" s="1023">
        <f t="shared" si="22"/>
        <v>3950319.335</v>
      </c>
      <c r="L176" s="1023">
        <f t="shared" si="23"/>
        <v>501057.480300001</v>
      </c>
      <c r="M176" s="474">
        <v>12</v>
      </c>
      <c r="N176" s="1029">
        <f t="shared" si="24"/>
        <v>41754.7900250001</v>
      </c>
      <c r="O176" s="806">
        <v>42229.9921866667</v>
      </c>
      <c r="P176" s="806">
        <f t="shared" si="25"/>
        <v>-475.202161666646</v>
      </c>
      <c r="Q176" s="807"/>
      <c r="R176" s="479"/>
      <c r="S176" s="479"/>
    </row>
    <row r="177" ht="15.5" spans="1:19">
      <c r="A177" s="464">
        <v>11</v>
      </c>
      <c r="B177" s="351" t="s">
        <v>297</v>
      </c>
      <c r="C177" s="1023">
        <v>358920.666666667</v>
      </c>
      <c r="D177" s="1021">
        <v>12</v>
      </c>
      <c r="E177" s="1023">
        <f t="shared" si="29"/>
        <v>4307048</v>
      </c>
      <c r="F177" s="1023"/>
      <c r="G177" s="1023">
        <v>60164.8250000001</v>
      </c>
      <c r="H177" s="1024">
        <v>296563.84</v>
      </c>
      <c r="I177" s="938"/>
      <c r="J177" s="1023">
        <f t="shared" si="21"/>
        <v>356728.665</v>
      </c>
      <c r="K177" s="1023">
        <f t="shared" si="22"/>
        <v>3950319.335</v>
      </c>
      <c r="L177" s="1023">
        <f t="shared" si="23"/>
        <v>501057.480300001</v>
      </c>
      <c r="M177" s="474">
        <v>12</v>
      </c>
      <c r="N177" s="1029">
        <f t="shared" si="24"/>
        <v>41754.7900250001</v>
      </c>
      <c r="O177" s="806">
        <v>42229.9921866667</v>
      </c>
      <c r="P177" s="806">
        <f t="shared" si="25"/>
        <v>-475.202161666646</v>
      </c>
      <c r="Q177" s="807"/>
      <c r="R177" s="479"/>
      <c r="S177" s="479"/>
    </row>
    <row r="178" ht="15.5" spans="1:19">
      <c r="A178" s="464">
        <v>12</v>
      </c>
      <c r="B178" s="351" t="s">
        <v>298</v>
      </c>
      <c r="C178" s="1023">
        <v>351910.75</v>
      </c>
      <c r="D178" s="1021">
        <v>12</v>
      </c>
      <c r="E178" s="1023">
        <f t="shared" si="29"/>
        <v>4222929</v>
      </c>
      <c r="F178" s="1023"/>
      <c r="G178" s="1023">
        <v>58909.3250000001</v>
      </c>
      <c r="H178" s="1024">
        <v>289834.32</v>
      </c>
      <c r="I178" s="938"/>
      <c r="J178" s="1023">
        <f t="shared" si="21"/>
        <v>348743.645</v>
      </c>
      <c r="K178" s="1023">
        <f t="shared" si="22"/>
        <v>3874185.355</v>
      </c>
      <c r="L178" s="1023">
        <f t="shared" si="23"/>
        <v>487353.3639</v>
      </c>
      <c r="M178" s="474">
        <v>12</v>
      </c>
      <c r="N178" s="1029">
        <f t="shared" si="24"/>
        <v>40612.780325</v>
      </c>
      <c r="O178" s="806">
        <v>41146.5394666668</v>
      </c>
      <c r="P178" s="806">
        <f t="shared" si="25"/>
        <v>-533.7591416668</v>
      </c>
      <c r="Q178" s="807"/>
      <c r="R178" s="479"/>
      <c r="S178" s="479"/>
    </row>
    <row r="179" ht="15" spans="1:19">
      <c r="A179" s="464"/>
      <c r="B179" s="864" t="s">
        <v>120</v>
      </c>
      <c r="C179" s="1025">
        <f>SUM(C167:C178)</f>
        <v>8955206.49999999</v>
      </c>
      <c r="D179" s="1026"/>
      <c r="E179" s="1025">
        <f t="shared" ref="D179:P179" si="30">SUM(E167:E178)</f>
        <v>107462478</v>
      </c>
      <c r="F179" s="1025"/>
      <c r="G179" s="1025">
        <f t="shared" si="30"/>
        <v>1055119.05</v>
      </c>
      <c r="H179" s="1025">
        <f t="shared" si="30"/>
        <v>7464198.23999999</v>
      </c>
      <c r="I179" s="1025"/>
      <c r="J179" s="1025">
        <f t="shared" si="30"/>
        <v>8519317.28999999</v>
      </c>
      <c r="K179" s="1025">
        <f t="shared" si="30"/>
        <v>98943160.71</v>
      </c>
      <c r="L179" s="1025">
        <f t="shared" si="30"/>
        <v>15587920.71945</v>
      </c>
      <c r="M179" s="1025"/>
      <c r="N179" s="1030">
        <f t="shared" si="30"/>
        <v>1298993.3932875</v>
      </c>
      <c r="O179" s="1025">
        <f t="shared" si="30"/>
        <v>1317073.8304</v>
      </c>
      <c r="P179" s="1025">
        <f t="shared" si="30"/>
        <v>-18080.4371125011</v>
      </c>
      <c r="Q179" s="807"/>
      <c r="R179" s="479"/>
      <c r="S179" s="479"/>
    </row>
    <row r="180" ht="15" spans="1:19">
      <c r="A180" s="464"/>
      <c r="B180" s="867"/>
      <c r="C180" s="1023"/>
      <c r="D180" s="1021"/>
      <c r="E180" s="1023"/>
      <c r="F180" s="807"/>
      <c r="G180" s="807"/>
      <c r="H180" s="807"/>
      <c r="I180" s="807"/>
      <c r="J180" s="1023"/>
      <c r="K180" s="1023"/>
      <c r="L180" s="1023"/>
      <c r="M180" s="474"/>
      <c r="N180" s="1029"/>
      <c r="O180" s="806"/>
      <c r="P180" s="806"/>
      <c r="Q180" s="807"/>
      <c r="R180" s="479"/>
      <c r="S180" s="479"/>
    </row>
    <row r="181" ht="15" spans="1:19">
      <c r="A181" s="464"/>
      <c r="B181" s="864" t="s">
        <v>300</v>
      </c>
      <c r="C181" s="1023"/>
      <c r="D181" s="1021"/>
      <c r="E181" s="1023"/>
      <c r="F181" s="807"/>
      <c r="G181" s="807"/>
      <c r="H181" s="807"/>
      <c r="I181" s="807"/>
      <c r="J181" s="1023"/>
      <c r="K181" s="1023"/>
      <c r="L181" s="1023"/>
      <c r="M181" s="474"/>
      <c r="N181" s="1029"/>
      <c r="O181" s="806"/>
      <c r="P181" s="806"/>
      <c r="Q181" s="807"/>
      <c r="R181" s="479"/>
      <c r="S181" s="479"/>
    </row>
    <row r="182" ht="15.5" spans="1:19">
      <c r="A182" s="464">
        <v>1</v>
      </c>
      <c r="B182" s="639" t="s">
        <v>301</v>
      </c>
      <c r="C182" s="1023">
        <v>1797359.33333333</v>
      </c>
      <c r="D182" s="1021">
        <v>12</v>
      </c>
      <c r="E182" s="1023">
        <f t="shared" si="29"/>
        <v>21568312</v>
      </c>
      <c r="F182" s="1023"/>
      <c r="G182" s="1023">
        <v>316881.849999999</v>
      </c>
      <c r="H182" s="1024">
        <v>1629464.96</v>
      </c>
      <c r="I182" s="938"/>
      <c r="J182" s="1023">
        <f t="shared" si="21"/>
        <v>1946346.81</v>
      </c>
      <c r="K182" s="1023">
        <f t="shared" si="22"/>
        <v>19621965.19</v>
      </c>
      <c r="L182" s="1023">
        <f t="shared" si="23"/>
        <v>3550612.68989999</v>
      </c>
      <c r="M182" s="474">
        <v>12</v>
      </c>
      <c r="N182" s="1029">
        <f t="shared" si="24"/>
        <v>295884.390824999</v>
      </c>
      <c r="O182" s="806">
        <v>283977.162346667</v>
      </c>
      <c r="P182" s="806">
        <f t="shared" si="25"/>
        <v>11907.2284783323</v>
      </c>
      <c r="Q182" s="807"/>
      <c r="R182" s="479"/>
      <c r="S182" s="479"/>
    </row>
    <row r="183" ht="15.5" spans="1:19">
      <c r="A183" s="464">
        <v>2</v>
      </c>
      <c r="B183" s="639" t="s">
        <v>304</v>
      </c>
      <c r="C183" s="1023">
        <v>1045306.75</v>
      </c>
      <c r="D183" s="1021">
        <v>12</v>
      </c>
      <c r="E183" s="1023">
        <f t="shared" si="29"/>
        <v>12543681</v>
      </c>
      <c r="F183" s="1023"/>
      <c r="G183" s="1023">
        <v>166400.85</v>
      </c>
      <c r="H183" s="1024">
        <v>869094.48</v>
      </c>
      <c r="I183" s="938"/>
      <c r="J183" s="1023">
        <f t="shared" si="21"/>
        <v>1035495.33</v>
      </c>
      <c r="K183" s="1023">
        <f t="shared" si="22"/>
        <v>11508185.67</v>
      </c>
      <c r="L183" s="1023">
        <f t="shared" si="23"/>
        <v>1861473.4206</v>
      </c>
      <c r="M183" s="474">
        <v>12</v>
      </c>
      <c r="N183" s="1029">
        <f t="shared" si="24"/>
        <v>155122.78505</v>
      </c>
      <c r="O183" s="806">
        <v>162797.637386667</v>
      </c>
      <c r="P183" s="806">
        <f t="shared" si="25"/>
        <v>-7674.85233666701</v>
      </c>
      <c r="Q183" s="807"/>
      <c r="R183" s="479"/>
      <c r="S183" s="479"/>
    </row>
    <row r="184" ht="15.5" spans="1:19">
      <c r="A184" s="464">
        <v>3</v>
      </c>
      <c r="B184" s="643" t="s">
        <v>306</v>
      </c>
      <c r="C184" s="1023">
        <v>802595.5</v>
      </c>
      <c r="D184" s="1021">
        <v>12</v>
      </c>
      <c r="E184" s="1023">
        <f t="shared" si="29"/>
        <v>9631146</v>
      </c>
      <c r="F184" s="1023"/>
      <c r="G184" s="1023">
        <v>133798.75</v>
      </c>
      <c r="H184" s="1024">
        <v>693691.68</v>
      </c>
      <c r="I184" s="938"/>
      <c r="J184" s="1023">
        <f t="shared" si="21"/>
        <v>827490.43</v>
      </c>
      <c r="K184" s="1023">
        <f t="shared" si="22"/>
        <v>8803655.57</v>
      </c>
      <c r="L184" s="1023">
        <f t="shared" si="23"/>
        <v>1374658.0026</v>
      </c>
      <c r="M184" s="474">
        <v>12</v>
      </c>
      <c r="N184" s="1029">
        <f t="shared" si="24"/>
        <v>114554.83355</v>
      </c>
      <c r="O184" s="806">
        <v>115722.463706667</v>
      </c>
      <c r="P184" s="806">
        <f t="shared" si="25"/>
        <v>-1167.630156667</v>
      </c>
      <c r="Q184" s="807"/>
      <c r="R184" s="479"/>
      <c r="S184" s="479"/>
    </row>
    <row r="185" ht="15.5" spans="1:19">
      <c r="A185" s="464">
        <v>4</v>
      </c>
      <c r="B185" s="643" t="s">
        <v>308</v>
      </c>
      <c r="C185" s="1023">
        <v>802595.5</v>
      </c>
      <c r="D185" s="1021">
        <v>12</v>
      </c>
      <c r="E185" s="1023">
        <f t="shared" si="29"/>
        <v>9631146</v>
      </c>
      <c r="F185" s="1023"/>
      <c r="G185" s="1023">
        <v>133798.75</v>
      </c>
      <c r="H185" s="1024">
        <v>693691.68</v>
      </c>
      <c r="I185" s="938"/>
      <c r="J185" s="1023">
        <f t="shared" si="21"/>
        <v>827490.43</v>
      </c>
      <c r="K185" s="1023">
        <f t="shared" si="22"/>
        <v>8803655.57</v>
      </c>
      <c r="L185" s="1023">
        <f t="shared" si="23"/>
        <v>1374658.0026</v>
      </c>
      <c r="M185" s="474">
        <v>12</v>
      </c>
      <c r="N185" s="1029">
        <f t="shared" si="24"/>
        <v>114554.83355</v>
      </c>
      <c r="O185" s="806">
        <v>115722.463706667</v>
      </c>
      <c r="P185" s="806">
        <f t="shared" si="25"/>
        <v>-1167.630156667</v>
      </c>
      <c r="Q185" s="807"/>
      <c r="R185" s="479"/>
      <c r="S185" s="479"/>
    </row>
    <row r="186" ht="15.5" spans="1:19">
      <c r="A186" s="464">
        <v>5</v>
      </c>
      <c r="B186" s="643" t="s">
        <v>310</v>
      </c>
      <c r="C186" s="1023">
        <v>802595.5</v>
      </c>
      <c r="D186" s="1021">
        <v>12</v>
      </c>
      <c r="E186" s="1023">
        <f t="shared" si="29"/>
        <v>9631146</v>
      </c>
      <c r="F186" s="1023"/>
      <c r="G186" s="1023">
        <v>133798.75</v>
      </c>
      <c r="H186" s="1024">
        <v>693691.68</v>
      </c>
      <c r="I186" s="938"/>
      <c r="J186" s="1023">
        <f t="shared" si="21"/>
        <v>827490.43</v>
      </c>
      <c r="K186" s="1023">
        <f t="shared" si="22"/>
        <v>8803655.57</v>
      </c>
      <c r="L186" s="1023">
        <f t="shared" si="23"/>
        <v>1374658.0026</v>
      </c>
      <c r="M186" s="474">
        <v>12</v>
      </c>
      <c r="N186" s="1029">
        <f t="shared" si="24"/>
        <v>114554.83355</v>
      </c>
      <c r="O186" s="806">
        <v>115722.463706667</v>
      </c>
      <c r="P186" s="806">
        <f t="shared" si="25"/>
        <v>-1167.630156667</v>
      </c>
      <c r="Q186" s="807"/>
      <c r="R186" s="479"/>
      <c r="S186" s="479"/>
    </row>
    <row r="187" ht="26" customHeight="1" spans="1:19">
      <c r="A187" s="464">
        <v>6</v>
      </c>
      <c r="B187" s="643" t="s">
        <v>311</v>
      </c>
      <c r="C187" s="1023">
        <v>612419.5</v>
      </c>
      <c r="D187" s="1021">
        <v>12</v>
      </c>
      <c r="E187" s="1023">
        <f t="shared" si="29"/>
        <v>7349034</v>
      </c>
      <c r="F187" s="1023"/>
      <c r="G187" s="1023">
        <v>0</v>
      </c>
      <c r="H187" s="1024">
        <v>520722.72</v>
      </c>
      <c r="I187" s="938"/>
      <c r="J187" s="1023">
        <f t="shared" si="21"/>
        <v>520722.72</v>
      </c>
      <c r="K187" s="1023">
        <f t="shared" si="22"/>
        <v>6828311.28</v>
      </c>
      <c r="L187" s="1023">
        <f t="shared" si="23"/>
        <v>1019096.0304</v>
      </c>
      <c r="M187" s="474">
        <v>12</v>
      </c>
      <c r="N187" s="1029">
        <f t="shared" si="24"/>
        <v>84924.6692</v>
      </c>
      <c r="O187" s="806">
        <v>85138.2884266667</v>
      </c>
      <c r="P187" s="806">
        <f t="shared" si="25"/>
        <v>-213.619226666691</v>
      </c>
      <c r="Q187" s="807"/>
      <c r="R187" s="479"/>
      <c r="S187" s="479"/>
    </row>
    <row r="188" ht="15.5" spans="1:19">
      <c r="A188" s="464">
        <v>7</v>
      </c>
      <c r="B188" s="643" t="s">
        <v>313</v>
      </c>
      <c r="C188" s="1023">
        <v>567472.75</v>
      </c>
      <c r="D188" s="1021">
        <v>12</v>
      </c>
      <c r="E188" s="1023">
        <f t="shared" si="29"/>
        <v>6809673</v>
      </c>
      <c r="F188" s="1023"/>
      <c r="G188" s="1023">
        <v>0</v>
      </c>
      <c r="H188" s="1024">
        <v>477573.84</v>
      </c>
      <c r="I188" s="938"/>
      <c r="J188" s="1023">
        <f t="shared" si="21"/>
        <v>477573.84</v>
      </c>
      <c r="K188" s="1023">
        <f t="shared" si="22"/>
        <v>6332099.16</v>
      </c>
      <c r="L188" s="1023">
        <f t="shared" si="23"/>
        <v>929777.8488</v>
      </c>
      <c r="M188" s="474">
        <v>12</v>
      </c>
      <c r="N188" s="1029">
        <f t="shared" si="24"/>
        <v>77481.4874</v>
      </c>
      <c r="O188" s="806">
        <v>79980.2532266667</v>
      </c>
      <c r="P188" s="806">
        <f t="shared" si="25"/>
        <v>-2498.7658266667</v>
      </c>
      <c r="Q188" s="807"/>
      <c r="R188" s="479"/>
      <c r="S188" s="479"/>
    </row>
    <row r="189" ht="15.5" spans="1:19">
      <c r="A189" s="464">
        <v>8</v>
      </c>
      <c r="B189" s="643" t="s">
        <v>314</v>
      </c>
      <c r="C189" s="1023">
        <v>617472.75</v>
      </c>
      <c r="D189" s="1021">
        <v>12</v>
      </c>
      <c r="E189" s="1023">
        <f t="shared" si="29"/>
        <v>7409673</v>
      </c>
      <c r="F189" s="1023"/>
      <c r="G189" s="1023">
        <v>0</v>
      </c>
      <c r="H189" s="1024">
        <v>477573.84</v>
      </c>
      <c r="I189" s="938"/>
      <c r="J189" s="1023">
        <f t="shared" si="21"/>
        <v>477573.84</v>
      </c>
      <c r="K189" s="1023">
        <f t="shared" si="22"/>
        <v>6932099.16</v>
      </c>
      <c r="L189" s="1023">
        <f t="shared" si="23"/>
        <v>1037777.8488</v>
      </c>
      <c r="M189" s="474">
        <v>12</v>
      </c>
      <c r="N189" s="1029">
        <f t="shared" si="24"/>
        <v>86481.4874</v>
      </c>
      <c r="O189" s="806">
        <v>86996.6871466668</v>
      </c>
      <c r="P189" s="806">
        <f t="shared" si="25"/>
        <v>-515.199746666796</v>
      </c>
      <c r="Q189" s="807"/>
      <c r="R189" s="479"/>
      <c r="S189" s="479"/>
    </row>
    <row r="190" ht="15.5" spans="1:19">
      <c r="A190" s="464">
        <v>9</v>
      </c>
      <c r="B190" s="643" t="s">
        <v>316</v>
      </c>
      <c r="C190" s="1023">
        <v>552846.583333334</v>
      </c>
      <c r="D190" s="1021">
        <v>12</v>
      </c>
      <c r="E190" s="1023">
        <f t="shared" si="29"/>
        <v>6634159.00000001</v>
      </c>
      <c r="F190" s="1023"/>
      <c r="G190" s="1023">
        <v>0</v>
      </c>
      <c r="H190" s="1024">
        <v>463532.720000001</v>
      </c>
      <c r="I190" s="938"/>
      <c r="J190" s="1023">
        <f t="shared" si="21"/>
        <v>463532.720000001</v>
      </c>
      <c r="K190" s="1023">
        <f t="shared" si="22"/>
        <v>6170626.28000001</v>
      </c>
      <c r="L190" s="1023">
        <f t="shared" si="23"/>
        <v>900712.730400001</v>
      </c>
      <c r="M190" s="474">
        <v>12</v>
      </c>
      <c r="N190" s="1029">
        <f t="shared" si="24"/>
        <v>75059.3942000001</v>
      </c>
      <c r="O190" s="806">
        <v>77396.6871466667</v>
      </c>
      <c r="P190" s="806">
        <f t="shared" si="25"/>
        <v>-2337.29294666661</v>
      </c>
      <c r="Q190" s="807"/>
      <c r="R190" s="479"/>
      <c r="S190" s="479"/>
    </row>
    <row r="191" ht="15.5" spans="1:19">
      <c r="A191" s="464">
        <v>10</v>
      </c>
      <c r="B191" s="351" t="s">
        <v>318</v>
      </c>
      <c r="C191" s="1023">
        <v>542662.666666667</v>
      </c>
      <c r="D191" s="1021">
        <v>12</v>
      </c>
      <c r="E191" s="1023">
        <f t="shared" si="29"/>
        <v>6511952</v>
      </c>
      <c r="F191" s="1023"/>
      <c r="G191" s="1023">
        <v>90863.6000000001</v>
      </c>
      <c r="H191" s="1024">
        <v>463356.16</v>
      </c>
      <c r="I191" s="938"/>
      <c r="J191" s="1023">
        <f t="shared" si="21"/>
        <v>554219.76</v>
      </c>
      <c r="K191" s="1023">
        <f t="shared" si="22"/>
        <v>5957732.24</v>
      </c>
      <c r="L191" s="1023">
        <f t="shared" si="23"/>
        <v>862391.803200001</v>
      </c>
      <c r="M191" s="474">
        <v>12</v>
      </c>
      <c r="N191" s="1029">
        <f t="shared" si="24"/>
        <v>71865.9836000001</v>
      </c>
      <c r="O191" s="806">
        <v>71586.0920266667</v>
      </c>
      <c r="P191" s="806">
        <f t="shared" si="25"/>
        <v>279.891573333356</v>
      </c>
      <c r="Q191" s="807"/>
      <c r="R191" s="479"/>
      <c r="S191" s="479"/>
    </row>
    <row r="192" ht="15.5" spans="1:19">
      <c r="A192" s="464">
        <v>11</v>
      </c>
      <c r="B192" s="643" t="s">
        <v>320</v>
      </c>
      <c r="C192" s="1023">
        <v>528828.166666667</v>
      </c>
      <c r="D192" s="1021">
        <v>12</v>
      </c>
      <c r="E192" s="1023">
        <f t="shared" si="29"/>
        <v>6345938</v>
      </c>
      <c r="F192" s="1023"/>
      <c r="G192" s="1023">
        <v>88398.8750000001</v>
      </c>
      <c r="H192" s="1024">
        <v>450075.04</v>
      </c>
      <c r="I192" s="938"/>
      <c r="J192" s="1023">
        <f t="shared" si="21"/>
        <v>538473.915</v>
      </c>
      <c r="K192" s="1023">
        <f t="shared" si="22"/>
        <v>5807464.085</v>
      </c>
      <c r="L192" s="1023">
        <f t="shared" si="23"/>
        <v>835343.535300001</v>
      </c>
      <c r="M192" s="474">
        <v>12</v>
      </c>
      <c r="N192" s="1029">
        <f t="shared" si="24"/>
        <v>69611.9612750001</v>
      </c>
      <c r="O192" s="806">
        <v>70556.7332266666</v>
      </c>
      <c r="P192" s="806">
        <f t="shared" si="25"/>
        <v>-944.771951666553</v>
      </c>
      <c r="Q192" s="807"/>
      <c r="R192" s="479"/>
      <c r="S192" s="479"/>
    </row>
    <row r="193" ht="15.5" spans="1:19">
      <c r="A193" s="464">
        <v>12</v>
      </c>
      <c r="B193" s="643" t="s">
        <v>322</v>
      </c>
      <c r="C193" s="1023">
        <v>514993.583333333</v>
      </c>
      <c r="D193" s="1021">
        <v>12</v>
      </c>
      <c r="E193" s="1023">
        <f t="shared" si="29"/>
        <v>6179923</v>
      </c>
      <c r="F193" s="1023"/>
      <c r="G193" s="1023">
        <v>0</v>
      </c>
      <c r="H193" s="1024">
        <v>436793.84</v>
      </c>
      <c r="I193" s="938"/>
      <c r="J193" s="1023">
        <f t="shared" si="21"/>
        <v>436793.84</v>
      </c>
      <c r="K193" s="1023">
        <f t="shared" si="22"/>
        <v>5743129.16</v>
      </c>
      <c r="L193" s="1023">
        <f t="shared" si="23"/>
        <v>823763.248799999</v>
      </c>
      <c r="M193" s="474">
        <v>12</v>
      </c>
      <c r="N193" s="1029">
        <f t="shared" si="24"/>
        <v>68646.9374</v>
      </c>
      <c r="O193" s="806">
        <v>68112.9924266667</v>
      </c>
      <c r="P193" s="806">
        <f t="shared" si="25"/>
        <v>533.944973333259</v>
      </c>
      <c r="Q193" s="807"/>
      <c r="R193" s="479"/>
      <c r="S193" s="479"/>
    </row>
    <row r="194" ht="15.5" spans="1:19">
      <c r="A194" s="464">
        <v>13</v>
      </c>
      <c r="B194" s="643" t="s">
        <v>323</v>
      </c>
      <c r="C194" s="1023">
        <v>514993.583333333</v>
      </c>
      <c r="D194" s="1021">
        <v>12</v>
      </c>
      <c r="E194" s="1023">
        <f t="shared" si="29"/>
        <v>6179923</v>
      </c>
      <c r="F194" s="1023"/>
      <c r="G194" s="1023">
        <v>85934.1249999999</v>
      </c>
      <c r="H194" s="1024">
        <v>436793.84</v>
      </c>
      <c r="I194" s="938"/>
      <c r="J194" s="1023">
        <f t="shared" si="21"/>
        <v>522727.965</v>
      </c>
      <c r="K194" s="1023">
        <f t="shared" si="22"/>
        <v>5657195.035</v>
      </c>
      <c r="L194" s="1023">
        <f t="shared" si="23"/>
        <v>808295.106299999</v>
      </c>
      <c r="M194" s="474">
        <v>12</v>
      </c>
      <c r="N194" s="1029">
        <f t="shared" si="24"/>
        <v>67357.925525</v>
      </c>
      <c r="O194" s="806">
        <v>66777.4824266667</v>
      </c>
      <c r="P194" s="806">
        <f t="shared" si="25"/>
        <v>580.443098333257</v>
      </c>
      <c r="Q194" s="807"/>
      <c r="R194" s="479"/>
      <c r="S194" s="479"/>
    </row>
    <row r="195" ht="15.5" spans="1:19">
      <c r="A195" s="464">
        <v>14</v>
      </c>
      <c r="B195" s="643" t="s">
        <v>324</v>
      </c>
      <c r="C195" s="1023">
        <v>514993.583333333</v>
      </c>
      <c r="D195" s="1021">
        <v>12</v>
      </c>
      <c r="E195" s="1023">
        <f t="shared" si="29"/>
        <v>6179923</v>
      </c>
      <c r="F195" s="1023"/>
      <c r="G195" s="1023">
        <v>85934.1249999999</v>
      </c>
      <c r="H195" s="1024">
        <v>436793.84</v>
      </c>
      <c r="I195" s="938"/>
      <c r="J195" s="1023">
        <f t="shared" si="21"/>
        <v>522727.965</v>
      </c>
      <c r="K195" s="1023">
        <f t="shared" si="22"/>
        <v>5657195.035</v>
      </c>
      <c r="L195" s="1023">
        <f t="shared" si="23"/>
        <v>808295.106299999</v>
      </c>
      <c r="M195" s="474">
        <v>12</v>
      </c>
      <c r="N195" s="1029">
        <f t="shared" si="24"/>
        <v>67357.925525</v>
      </c>
      <c r="O195" s="806">
        <v>66777.4824266667</v>
      </c>
      <c r="P195" s="806">
        <f t="shared" si="25"/>
        <v>580.443098333257</v>
      </c>
      <c r="Q195" s="807"/>
      <c r="R195" s="479"/>
      <c r="S195" s="479"/>
    </row>
    <row r="196" ht="15.5" spans="1:19">
      <c r="A196" s="464">
        <v>15</v>
      </c>
      <c r="B196" s="643" t="s">
        <v>325</v>
      </c>
      <c r="C196" s="1023">
        <v>528828.166666667</v>
      </c>
      <c r="D196" s="1021">
        <v>12</v>
      </c>
      <c r="E196" s="1023">
        <f t="shared" si="29"/>
        <v>6345938</v>
      </c>
      <c r="F196" s="1023"/>
      <c r="G196" s="1023">
        <v>0</v>
      </c>
      <c r="H196" s="1024">
        <v>450075.04</v>
      </c>
      <c r="I196" s="938"/>
      <c r="J196" s="1023">
        <f t="shared" si="21"/>
        <v>450075.04</v>
      </c>
      <c r="K196" s="1023">
        <f t="shared" si="22"/>
        <v>5895862.96</v>
      </c>
      <c r="L196" s="1023">
        <f t="shared" si="23"/>
        <v>851255.332800001</v>
      </c>
      <c r="M196" s="474">
        <v>12</v>
      </c>
      <c r="N196" s="1029">
        <f t="shared" si="24"/>
        <v>70937.9444000001</v>
      </c>
      <c r="O196" s="806">
        <v>70556.7332266666</v>
      </c>
      <c r="P196" s="806">
        <f t="shared" si="25"/>
        <v>381.211173333446</v>
      </c>
      <c r="Q196" s="807"/>
      <c r="R196" s="479"/>
      <c r="S196" s="479"/>
    </row>
    <row r="197" ht="15.5" spans="1:19">
      <c r="A197" s="464">
        <v>16</v>
      </c>
      <c r="B197" s="643" t="s">
        <v>326</v>
      </c>
      <c r="C197" s="1023">
        <v>459131.166666667</v>
      </c>
      <c r="D197" s="1021">
        <v>12</v>
      </c>
      <c r="E197" s="1023">
        <f t="shared" si="29"/>
        <v>5509574</v>
      </c>
      <c r="F197" s="1023"/>
      <c r="G197" s="1023">
        <v>75440.3750000001</v>
      </c>
      <c r="H197" s="1024">
        <v>383165.92</v>
      </c>
      <c r="I197" s="938"/>
      <c r="J197" s="1023">
        <f t="shared" si="21"/>
        <v>458606.295</v>
      </c>
      <c r="K197" s="1023">
        <f t="shared" si="22"/>
        <v>5050967.705</v>
      </c>
      <c r="L197" s="1023">
        <f t="shared" si="23"/>
        <v>699174.186900001</v>
      </c>
      <c r="M197" s="474">
        <v>12</v>
      </c>
      <c r="N197" s="1029">
        <f t="shared" si="24"/>
        <v>58264.5155750001</v>
      </c>
      <c r="O197" s="806">
        <v>59100.2602666668</v>
      </c>
      <c r="P197" s="806">
        <f t="shared" si="25"/>
        <v>-835.744691666747</v>
      </c>
      <c r="Q197" s="807"/>
      <c r="R197" s="479"/>
      <c r="S197" s="479"/>
    </row>
    <row r="198" ht="31" spans="1:19">
      <c r="A198" s="464">
        <v>17</v>
      </c>
      <c r="B198" s="643" t="s">
        <v>328</v>
      </c>
      <c r="C198" s="1023">
        <v>432145.333333333</v>
      </c>
      <c r="D198" s="1021">
        <v>12</v>
      </c>
      <c r="E198" s="1023">
        <f t="shared" si="29"/>
        <v>5185744</v>
      </c>
      <c r="F198" s="1023"/>
      <c r="G198" s="1023">
        <v>70673.35</v>
      </c>
      <c r="H198" s="1024">
        <v>357259.52</v>
      </c>
      <c r="I198" s="938"/>
      <c r="J198" s="1023">
        <f t="shared" si="21"/>
        <v>427932.87</v>
      </c>
      <c r="K198" s="1023">
        <f t="shared" si="22"/>
        <v>4757811.13</v>
      </c>
      <c r="L198" s="1023">
        <f t="shared" si="23"/>
        <v>646406.003399999</v>
      </c>
      <c r="M198" s="474">
        <v>12</v>
      </c>
      <c r="N198" s="1029">
        <f t="shared" si="24"/>
        <v>53867.16695</v>
      </c>
      <c r="O198" s="806">
        <v>55922.4183466667</v>
      </c>
      <c r="P198" s="806">
        <f t="shared" si="25"/>
        <v>-2055.25139666675</v>
      </c>
      <c r="Q198" s="807"/>
      <c r="R198" s="479"/>
      <c r="S198" s="479"/>
    </row>
    <row r="199" ht="15.5" spans="1:19">
      <c r="A199" s="464">
        <v>18</v>
      </c>
      <c r="B199" s="643" t="s">
        <v>330</v>
      </c>
      <c r="C199" s="1023">
        <v>514993.583333333</v>
      </c>
      <c r="D199" s="1021">
        <v>12</v>
      </c>
      <c r="E199" s="1023">
        <f t="shared" si="29"/>
        <v>6179923</v>
      </c>
      <c r="F199" s="1023"/>
      <c r="G199" s="1023">
        <v>0</v>
      </c>
      <c r="H199" s="1024">
        <v>436793.84</v>
      </c>
      <c r="I199" s="938"/>
      <c r="J199" s="1023">
        <f t="shared" ref="J199:J248" si="31">F199+G199+H199</f>
        <v>436793.84</v>
      </c>
      <c r="K199" s="1023">
        <f t="shared" ref="K199:K248" si="32">E199-J199</f>
        <v>5743129.16</v>
      </c>
      <c r="L199" s="1023">
        <f t="shared" ref="L199:L248" si="33">IF(K199&lt;=800000,0,IF(K199&lt;=3000000,(K199-800000)*15%,IF(K199&lt;=12000000,330000+(K199-3000000)*18%,IF(K199&lt;=25000000,1950000+(K199-12000000)*21%,IF(K199&lt;=50000000,4680000+(K199-25000000)*23%,10430000+(K199-50000000)*25%)))))</f>
        <v>823763.248799999</v>
      </c>
      <c r="M199" s="474">
        <v>12</v>
      </c>
      <c r="N199" s="1029">
        <f t="shared" ref="N199:N248" si="34">L199/M199</f>
        <v>68646.9374</v>
      </c>
      <c r="O199" s="806">
        <v>66777.4824266667</v>
      </c>
      <c r="P199" s="806">
        <f t="shared" ref="P199:P248" si="35">N199-O199</f>
        <v>1869.45497333325</v>
      </c>
      <c r="Q199" s="807"/>
      <c r="R199" s="479"/>
      <c r="S199" s="479"/>
    </row>
    <row r="200" ht="15.5" spans="1:19">
      <c r="A200" s="464">
        <v>19</v>
      </c>
      <c r="B200" s="643" t="s">
        <v>332</v>
      </c>
      <c r="C200" s="1023">
        <v>441140.666666666</v>
      </c>
      <c r="D200" s="1021">
        <v>12</v>
      </c>
      <c r="E200" s="1023">
        <f t="shared" si="29"/>
        <v>5293687.99999999</v>
      </c>
      <c r="F200" s="1023"/>
      <c r="G200" s="1023">
        <v>72262.3749999999</v>
      </c>
      <c r="H200" s="1024">
        <v>365895.039999999</v>
      </c>
      <c r="I200" s="938"/>
      <c r="J200" s="1023">
        <f t="shared" si="31"/>
        <v>438157.414999999</v>
      </c>
      <c r="K200" s="1023">
        <f t="shared" si="32"/>
        <v>4855530.58499999</v>
      </c>
      <c r="L200" s="1023">
        <f t="shared" si="33"/>
        <v>663995.505299999</v>
      </c>
      <c r="M200" s="474">
        <v>12</v>
      </c>
      <c r="N200" s="1029">
        <f t="shared" si="34"/>
        <v>55332.9587749999</v>
      </c>
      <c r="O200" s="806">
        <v>56180.8452266666</v>
      </c>
      <c r="P200" s="806">
        <f t="shared" si="35"/>
        <v>-847.886451666709</v>
      </c>
      <c r="Q200" s="807"/>
      <c r="R200" s="479"/>
      <c r="S200" s="479"/>
    </row>
    <row r="201" ht="15.5" spans="1:19">
      <c r="A201" s="464">
        <v>20</v>
      </c>
      <c r="B201" s="351" t="s">
        <v>334</v>
      </c>
      <c r="C201" s="1023">
        <v>564993.583333333</v>
      </c>
      <c r="D201" s="1021">
        <v>12</v>
      </c>
      <c r="E201" s="1023">
        <f t="shared" si="29"/>
        <v>6779923</v>
      </c>
      <c r="F201" s="1023"/>
      <c r="G201" s="1023">
        <v>85934.1249999999</v>
      </c>
      <c r="H201" s="1024">
        <v>436793.84</v>
      </c>
      <c r="I201" s="938"/>
      <c r="J201" s="1023">
        <f t="shared" si="31"/>
        <v>522727.965</v>
      </c>
      <c r="K201" s="1023">
        <f t="shared" si="32"/>
        <v>6257195.035</v>
      </c>
      <c r="L201" s="1023">
        <f t="shared" si="33"/>
        <v>916295.106299999</v>
      </c>
      <c r="M201" s="474">
        <v>12</v>
      </c>
      <c r="N201" s="1029">
        <f t="shared" si="34"/>
        <v>76357.9255249999</v>
      </c>
      <c r="O201" s="806">
        <v>88380.7296808602</v>
      </c>
      <c r="P201" s="806">
        <f t="shared" si="35"/>
        <v>-12022.8041558603</v>
      </c>
      <c r="Q201" s="807"/>
      <c r="R201" s="479"/>
      <c r="S201" s="479"/>
    </row>
    <row r="202" ht="15.5" spans="1:19">
      <c r="A202" s="464">
        <v>21</v>
      </c>
      <c r="B202" s="351" t="s">
        <v>335</v>
      </c>
      <c r="C202" s="1023">
        <v>432145.333333333</v>
      </c>
      <c r="D202" s="1021">
        <v>12</v>
      </c>
      <c r="E202" s="1023">
        <f t="shared" si="29"/>
        <v>5185744</v>
      </c>
      <c r="F202" s="1023"/>
      <c r="G202" s="1023">
        <v>0</v>
      </c>
      <c r="H202" s="1024">
        <v>357259.52</v>
      </c>
      <c r="I202" s="938"/>
      <c r="J202" s="1023">
        <f t="shared" si="31"/>
        <v>357259.52</v>
      </c>
      <c r="K202" s="1023">
        <f t="shared" si="32"/>
        <v>4828484.48</v>
      </c>
      <c r="L202" s="1023">
        <f t="shared" si="33"/>
        <v>659127.206399999</v>
      </c>
      <c r="M202" s="474">
        <v>12</v>
      </c>
      <c r="N202" s="1029">
        <f t="shared" si="34"/>
        <v>54927.2671999999</v>
      </c>
      <c r="O202" s="806">
        <v>56180.8452266666</v>
      </c>
      <c r="P202" s="806">
        <f t="shared" si="35"/>
        <v>-1253.57802666666</v>
      </c>
      <c r="Q202" s="807"/>
      <c r="R202" s="479"/>
      <c r="S202" s="479"/>
    </row>
    <row r="203" ht="15.5" spans="1:19">
      <c r="A203" s="464">
        <v>22</v>
      </c>
      <c r="B203" s="351" t="s">
        <v>337</v>
      </c>
      <c r="C203" s="1023">
        <v>398711.666666667</v>
      </c>
      <c r="D203" s="1021">
        <v>12</v>
      </c>
      <c r="E203" s="1023">
        <f t="shared" si="29"/>
        <v>4784540</v>
      </c>
      <c r="F203" s="1023"/>
      <c r="G203" s="1023">
        <v>66802.3749999999</v>
      </c>
      <c r="H203" s="1024">
        <v>325163.2</v>
      </c>
      <c r="I203" s="938"/>
      <c r="J203" s="1023">
        <f t="shared" si="31"/>
        <v>391965.575</v>
      </c>
      <c r="K203" s="1023">
        <f t="shared" si="32"/>
        <v>4392574.425</v>
      </c>
      <c r="L203" s="1023">
        <f t="shared" si="33"/>
        <v>580663.396500001</v>
      </c>
      <c r="M203" s="474">
        <v>12</v>
      </c>
      <c r="N203" s="1029">
        <f t="shared" si="34"/>
        <v>48388.616375</v>
      </c>
      <c r="O203" s="806">
        <v>50016.6954666667</v>
      </c>
      <c r="P203" s="806">
        <f t="shared" si="35"/>
        <v>-1628.07909166665</v>
      </c>
      <c r="Q203" s="807"/>
      <c r="R203" s="479"/>
      <c r="S203" s="479"/>
    </row>
    <row r="204" ht="15.5" spans="1:19">
      <c r="A204" s="464">
        <v>23</v>
      </c>
      <c r="B204" s="351" t="s">
        <v>339</v>
      </c>
      <c r="C204" s="1023">
        <v>407016.166666666</v>
      </c>
      <c r="D204" s="1021">
        <v>12</v>
      </c>
      <c r="E204" s="1023">
        <f t="shared" si="29"/>
        <v>4884193.99999999</v>
      </c>
      <c r="F204" s="1023"/>
      <c r="G204" s="1023">
        <v>0</v>
      </c>
      <c r="H204" s="1024">
        <v>333135.519999999</v>
      </c>
      <c r="I204" s="938"/>
      <c r="J204" s="1023">
        <f t="shared" si="31"/>
        <v>333135.519999999</v>
      </c>
      <c r="K204" s="1023">
        <f t="shared" si="32"/>
        <v>4551058.47999999</v>
      </c>
      <c r="L204" s="1023">
        <f t="shared" si="33"/>
        <v>609190.526399999</v>
      </c>
      <c r="M204" s="474">
        <v>12</v>
      </c>
      <c r="N204" s="1029">
        <f t="shared" si="34"/>
        <v>50765.8771999999</v>
      </c>
      <c r="O204" s="806">
        <v>50016.6954666667</v>
      </c>
      <c r="P204" s="806">
        <f t="shared" si="35"/>
        <v>749.181733333193</v>
      </c>
      <c r="Q204" s="807"/>
      <c r="R204" s="479"/>
      <c r="S204" s="479"/>
    </row>
    <row r="205" ht="15.5" spans="1:19">
      <c r="A205" s="464">
        <v>24</v>
      </c>
      <c r="B205" s="351" t="s">
        <v>340</v>
      </c>
      <c r="C205" s="1023">
        <v>398711.666666667</v>
      </c>
      <c r="D205" s="1021">
        <v>12</v>
      </c>
      <c r="E205" s="1023">
        <f t="shared" si="29"/>
        <v>4784540</v>
      </c>
      <c r="F205" s="1023"/>
      <c r="G205" s="1023">
        <v>0</v>
      </c>
      <c r="H205" s="1024">
        <v>325163.2</v>
      </c>
      <c r="I205" s="938"/>
      <c r="J205" s="1023">
        <f t="shared" si="31"/>
        <v>325163.2</v>
      </c>
      <c r="K205" s="1023">
        <f t="shared" si="32"/>
        <v>4459376.8</v>
      </c>
      <c r="L205" s="1023">
        <f t="shared" si="33"/>
        <v>592687.824000001</v>
      </c>
      <c r="M205" s="474">
        <v>12</v>
      </c>
      <c r="N205" s="1029">
        <f t="shared" si="34"/>
        <v>49390.6520000001</v>
      </c>
      <c r="O205" s="806">
        <v>48549.7738666667</v>
      </c>
      <c r="P205" s="806">
        <f t="shared" si="35"/>
        <v>840.878133333354</v>
      </c>
      <c r="Q205" s="807"/>
      <c r="R205" s="479"/>
      <c r="S205" s="479"/>
    </row>
    <row r="206" ht="31" spans="1:19">
      <c r="A206" s="464">
        <v>25</v>
      </c>
      <c r="B206" s="351" t="s">
        <v>342</v>
      </c>
      <c r="C206" s="1023">
        <v>390408.083333333</v>
      </c>
      <c r="D206" s="1021">
        <v>12</v>
      </c>
      <c r="E206" s="1023">
        <f t="shared" si="29"/>
        <v>4684897</v>
      </c>
      <c r="F206" s="1023"/>
      <c r="G206" s="1023">
        <v>0</v>
      </c>
      <c r="H206" s="1024">
        <v>317190.8</v>
      </c>
      <c r="I206" s="938"/>
      <c r="J206" s="1023">
        <f t="shared" si="31"/>
        <v>317190.8</v>
      </c>
      <c r="K206" s="1023">
        <f t="shared" si="32"/>
        <v>4367706.2</v>
      </c>
      <c r="L206" s="1023">
        <f t="shared" si="33"/>
        <v>576187.115999999</v>
      </c>
      <c r="M206" s="474">
        <v>12</v>
      </c>
      <c r="N206" s="1029">
        <f t="shared" si="34"/>
        <v>48015.5929999999</v>
      </c>
      <c r="O206" s="806">
        <v>48549.7738666667</v>
      </c>
      <c r="P206" s="806">
        <f t="shared" si="35"/>
        <v>-534.180866666757</v>
      </c>
      <c r="Q206" s="807"/>
      <c r="R206" s="479"/>
      <c r="S206" s="479"/>
    </row>
    <row r="207" ht="15.5" spans="1:19">
      <c r="A207" s="464">
        <v>26</v>
      </c>
      <c r="B207" s="351" t="s">
        <v>345</v>
      </c>
      <c r="C207" s="1023">
        <v>358920.666666667</v>
      </c>
      <c r="D207" s="1021">
        <v>12</v>
      </c>
      <c r="E207" s="1023">
        <f t="shared" si="29"/>
        <v>4307048</v>
      </c>
      <c r="F207" s="1023"/>
      <c r="G207" s="1023">
        <v>60164.8250000001</v>
      </c>
      <c r="H207" s="1024">
        <v>296563.84</v>
      </c>
      <c r="I207" s="938"/>
      <c r="J207" s="1023">
        <f t="shared" si="31"/>
        <v>356728.665</v>
      </c>
      <c r="K207" s="1023">
        <f t="shared" si="32"/>
        <v>3950319.335</v>
      </c>
      <c r="L207" s="1023">
        <f t="shared" si="33"/>
        <v>501057.480300001</v>
      </c>
      <c r="M207" s="474">
        <v>12</v>
      </c>
      <c r="N207" s="1029">
        <f t="shared" si="34"/>
        <v>41754.7900250001</v>
      </c>
      <c r="O207" s="806">
        <v>42229.9921866667</v>
      </c>
      <c r="P207" s="806">
        <f t="shared" si="35"/>
        <v>-475.202161666646</v>
      </c>
      <c r="Q207" s="807"/>
      <c r="R207" s="479"/>
      <c r="S207" s="479"/>
    </row>
    <row r="208" ht="15.5" spans="1:19">
      <c r="A208" s="464">
        <v>27</v>
      </c>
      <c r="B208" s="351" t="s">
        <v>347</v>
      </c>
      <c r="C208" s="1023">
        <v>358920.666666667</v>
      </c>
      <c r="D208" s="1021">
        <v>12</v>
      </c>
      <c r="E208" s="1023">
        <f t="shared" si="29"/>
        <v>4307048</v>
      </c>
      <c r="F208" s="1023"/>
      <c r="G208" s="1023">
        <v>60164.8250000001</v>
      </c>
      <c r="H208" s="1024">
        <v>296563.84</v>
      </c>
      <c r="I208" s="938"/>
      <c r="J208" s="1023">
        <f t="shared" si="31"/>
        <v>356728.665</v>
      </c>
      <c r="K208" s="1023">
        <f t="shared" si="32"/>
        <v>3950319.335</v>
      </c>
      <c r="L208" s="1023">
        <f t="shared" si="33"/>
        <v>501057.480300001</v>
      </c>
      <c r="M208" s="474">
        <v>12</v>
      </c>
      <c r="N208" s="1029">
        <f t="shared" si="34"/>
        <v>41754.7900250001</v>
      </c>
      <c r="O208" s="806">
        <v>42229.9921866667</v>
      </c>
      <c r="P208" s="806">
        <f t="shared" si="35"/>
        <v>-475.202161666646</v>
      </c>
      <c r="Q208" s="807"/>
      <c r="R208" s="479"/>
      <c r="S208" s="479"/>
    </row>
    <row r="209" ht="15.5" spans="1:19">
      <c r="A209" s="464">
        <v>28</v>
      </c>
      <c r="B209" s="351" t="s">
        <v>349</v>
      </c>
      <c r="C209" s="1023">
        <v>358920.666666667</v>
      </c>
      <c r="D209" s="1021">
        <v>12</v>
      </c>
      <c r="E209" s="1023">
        <f t="shared" si="29"/>
        <v>4307048</v>
      </c>
      <c r="F209" s="1023"/>
      <c r="G209" s="1023">
        <v>60164.8250000001</v>
      </c>
      <c r="H209" s="1024">
        <v>296563.84</v>
      </c>
      <c r="I209" s="938"/>
      <c r="J209" s="1023">
        <f t="shared" si="31"/>
        <v>356728.665</v>
      </c>
      <c r="K209" s="1023">
        <f t="shared" si="32"/>
        <v>3950319.335</v>
      </c>
      <c r="L209" s="1023">
        <f t="shared" si="33"/>
        <v>501057.480300001</v>
      </c>
      <c r="M209" s="474">
        <v>12</v>
      </c>
      <c r="N209" s="1029">
        <f t="shared" si="34"/>
        <v>41754.7900250001</v>
      </c>
      <c r="O209" s="806">
        <v>42229.9921866667</v>
      </c>
      <c r="P209" s="806">
        <f t="shared" si="35"/>
        <v>-475.202161666646</v>
      </c>
      <c r="Q209" s="807"/>
      <c r="R209" s="479"/>
      <c r="S209" s="479"/>
    </row>
    <row r="210" ht="15.5" spans="1:19">
      <c r="A210" s="464">
        <v>29</v>
      </c>
      <c r="B210" s="643" t="s">
        <v>351</v>
      </c>
      <c r="C210" s="1023">
        <v>390408.083333333</v>
      </c>
      <c r="D210" s="1021">
        <v>12</v>
      </c>
      <c r="E210" s="1023">
        <f t="shared" si="29"/>
        <v>4684897</v>
      </c>
      <c r="F210" s="1023"/>
      <c r="G210" s="1023">
        <v>63837.65</v>
      </c>
      <c r="H210" s="1024">
        <v>317191.76</v>
      </c>
      <c r="I210" s="938"/>
      <c r="J210" s="1023">
        <f t="shared" si="31"/>
        <v>381029.41</v>
      </c>
      <c r="K210" s="1023">
        <f t="shared" si="32"/>
        <v>4303867.59</v>
      </c>
      <c r="L210" s="1023">
        <f t="shared" si="33"/>
        <v>564696.166199999</v>
      </c>
      <c r="M210" s="474">
        <v>12</v>
      </c>
      <c r="N210" s="1029">
        <f t="shared" si="34"/>
        <v>47058.0138499999</v>
      </c>
      <c r="O210" s="806">
        <v>48550.1271466667</v>
      </c>
      <c r="P210" s="806">
        <f t="shared" si="35"/>
        <v>-1492.11329666676</v>
      </c>
      <c r="Q210" s="807"/>
      <c r="R210" s="479"/>
      <c r="S210" s="479"/>
    </row>
    <row r="211" ht="15.5" spans="1:19">
      <c r="A211" s="464">
        <v>30</v>
      </c>
      <c r="B211" s="643" t="s">
        <v>352</v>
      </c>
      <c r="C211" s="1023">
        <v>358920.666666667</v>
      </c>
      <c r="D211" s="1021">
        <v>12</v>
      </c>
      <c r="E211" s="1023">
        <f t="shared" si="29"/>
        <v>4307048</v>
      </c>
      <c r="F211" s="1023"/>
      <c r="G211" s="1023">
        <v>60164.8250000001</v>
      </c>
      <c r="H211" s="1024">
        <v>296563.84</v>
      </c>
      <c r="I211" s="938"/>
      <c r="J211" s="1023">
        <f t="shared" si="31"/>
        <v>356728.665</v>
      </c>
      <c r="K211" s="1023">
        <f t="shared" si="32"/>
        <v>3950319.335</v>
      </c>
      <c r="L211" s="1023">
        <f t="shared" si="33"/>
        <v>501057.480300001</v>
      </c>
      <c r="M211" s="474">
        <v>12</v>
      </c>
      <c r="N211" s="1029">
        <f t="shared" si="34"/>
        <v>41754.7900250001</v>
      </c>
      <c r="O211" s="806">
        <v>42229.9921866667</v>
      </c>
      <c r="P211" s="806">
        <f t="shared" si="35"/>
        <v>-475.202161666646</v>
      </c>
      <c r="Q211" s="807"/>
      <c r="R211" s="479"/>
      <c r="S211" s="479"/>
    </row>
    <row r="212" ht="15.75" customHeight="1" spans="1:19">
      <c r="A212" s="464">
        <v>31</v>
      </c>
      <c r="B212" s="643" t="s">
        <v>353</v>
      </c>
      <c r="C212" s="1023">
        <v>351910.75</v>
      </c>
      <c r="D212" s="1021">
        <v>12</v>
      </c>
      <c r="E212" s="1023">
        <f t="shared" si="29"/>
        <v>4222929</v>
      </c>
      <c r="F212" s="1023"/>
      <c r="G212" s="1023">
        <v>0</v>
      </c>
      <c r="H212" s="1024">
        <v>289834.32</v>
      </c>
      <c r="I212" s="938"/>
      <c r="J212" s="1023">
        <f t="shared" si="31"/>
        <v>289834.32</v>
      </c>
      <c r="K212" s="1023">
        <f t="shared" si="32"/>
        <v>3933094.68</v>
      </c>
      <c r="L212" s="1023">
        <f t="shared" si="33"/>
        <v>497957.0424</v>
      </c>
      <c r="M212" s="474">
        <v>12</v>
      </c>
      <c r="N212" s="1029">
        <f t="shared" si="34"/>
        <v>41496.4202</v>
      </c>
      <c r="O212" s="806">
        <v>41146.5394666668</v>
      </c>
      <c r="P212" s="806">
        <f t="shared" si="35"/>
        <v>349.880733333201</v>
      </c>
      <c r="Q212" s="807"/>
      <c r="R212" s="479"/>
      <c r="S212" s="479"/>
    </row>
    <row r="213" ht="15.5" spans="1:19">
      <c r="A213" s="464">
        <v>32</v>
      </c>
      <c r="B213" s="643" t="s">
        <v>355</v>
      </c>
      <c r="C213" s="1023">
        <v>351910.75</v>
      </c>
      <c r="D213" s="1021">
        <v>12</v>
      </c>
      <c r="E213" s="1023">
        <f t="shared" si="29"/>
        <v>4222929</v>
      </c>
      <c r="F213" s="1023"/>
      <c r="G213" s="1023">
        <v>0</v>
      </c>
      <c r="H213" s="1024">
        <v>289834.32</v>
      </c>
      <c r="I213" s="938"/>
      <c r="J213" s="1023">
        <f t="shared" si="31"/>
        <v>289834.32</v>
      </c>
      <c r="K213" s="1023">
        <f t="shared" si="32"/>
        <v>3933094.68</v>
      </c>
      <c r="L213" s="1023">
        <f t="shared" si="33"/>
        <v>497957.0424</v>
      </c>
      <c r="M213" s="474">
        <v>12</v>
      </c>
      <c r="N213" s="1029">
        <f t="shared" si="34"/>
        <v>41496.4202</v>
      </c>
      <c r="O213" s="806">
        <v>41146.5394666668</v>
      </c>
      <c r="P213" s="806">
        <f t="shared" si="35"/>
        <v>349.880733333201</v>
      </c>
      <c r="Q213" s="807"/>
      <c r="R213" s="479"/>
      <c r="S213" s="479"/>
    </row>
    <row r="214" ht="15.5" spans="1:19">
      <c r="A214" s="464">
        <v>33</v>
      </c>
      <c r="B214" s="643" t="s">
        <v>486</v>
      </c>
      <c r="C214" s="1023"/>
      <c r="D214" s="1021">
        <v>12</v>
      </c>
      <c r="E214" s="1023">
        <f t="shared" si="29"/>
        <v>0</v>
      </c>
      <c r="F214" s="1023"/>
      <c r="G214" s="1023">
        <v>0</v>
      </c>
      <c r="H214" s="1024">
        <v>283104.800000001</v>
      </c>
      <c r="I214" s="938"/>
      <c r="J214" s="1023">
        <f t="shared" si="31"/>
        <v>283104.800000001</v>
      </c>
      <c r="K214" s="1023">
        <f t="shared" si="32"/>
        <v>-283104.800000001</v>
      </c>
      <c r="L214" s="1023">
        <f t="shared" si="33"/>
        <v>0</v>
      </c>
      <c r="M214" s="474">
        <v>12</v>
      </c>
      <c r="N214" s="1029">
        <f t="shared" si="34"/>
        <v>0</v>
      </c>
      <c r="O214" s="806"/>
      <c r="P214" s="806">
        <f t="shared" si="35"/>
        <v>0</v>
      </c>
      <c r="Q214" s="807"/>
      <c r="R214" s="479"/>
      <c r="S214" s="479"/>
    </row>
    <row r="215" ht="15.5" spans="1:19">
      <c r="A215" s="464">
        <v>34</v>
      </c>
      <c r="B215" s="643" t="s">
        <v>356</v>
      </c>
      <c r="C215" s="1023">
        <v>344900.833333334</v>
      </c>
      <c r="D215" s="1021">
        <v>12</v>
      </c>
      <c r="E215" s="1023">
        <f t="shared" si="29"/>
        <v>4138810.00000001</v>
      </c>
      <c r="F215" s="1023"/>
      <c r="G215" s="1023">
        <v>0</v>
      </c>
      <c r="H215" s="1024">
        <v>283104.800000001</v>
      </c>
      <c r="I215" s="938"/>
      <c r="J215" s="1023">
        <f t="shared" si="31"/>
        <v>283104.800000001</v>
      </c>
      <c r="K215" s="1023">
        <f t="shared" si="32"/>
        <v>3855705.20000001</v>
      </c>
      <c r="L215" s="1023">
        <f t="shared" si="33"/>
        <v>484026.936000001</v>
      </c>
      <c r="M215" s="474">
        <v>12</v>
      </c>
      <c r="N215" s="1029">
        <f t="shared" si="34"/>
        <v>40335.5780000001</v>
      </c>
      <c r="O215" s="806">
        <v>40063.0867466667</v>
      </c>
      <c r="P215" s="806">
        <f t="shared" si="35"/>
        <v>272.491253333421</v>
      </c>
      <c r="Q215" s="807"/>
      <c r="R215" s="479"/>
      <c r="S215" s="479"/>
    </row>
    <row r="216" ht="15.5" spans="1:19">
      <c r="A216" s="464">
        <v>35</v>
      </c>
      <c r="B216" s="643" t="s">
        <v>357</v>
      </c>
      <c r="C216" s="1023">
        <v>344900.833333334</v>
      </c>
      <c r="D216" s="1021">
        <v>12</v>
      </c>
      <c r="E216" s="1023">
        <f t="shared" si="29"/>
        <v>4138810.00000001</v>
      </c>
      <c r="F216" s="1023"/>
      <c r="G216" s="1023">
        <v>0</v>
      </c>
      <c r="H216" s="1024">
        <v>283104.800000001</v>
      </c>
      <c r="I216" s="938"/>
      <c r="J216" s="1023">
        <f t="shared" si="31"/>
        <v>283104.800000001</v>
      </c>
      <c r="K216" s="1023">
        <f t="shared" si="32"/>
        <v>3855705.20000001</v>
      </c>
      <c r="L216" s="1023">
        <f t="shared" si="33"/>
        <v>484026.936000001</v>
      </c>
      <c r="M216" s="474">
        <v>12</v>
      </c>
      <c r="N216" s="1029">
        <f t="shared" si="34"/>
        <v>40335.5780000001</v>
      </c>
      <c r="O216" s="806">
        <v>40063.0867466667</v>
      </c>
      <c r="P216" s="806">
        <f t="shared" si="35"/>
        <v>272.491253333421</v>
      </c>
      <c r="Q216" s="807"/>
      <c r="R216" s="479"/>
      <c r="S216" s="479"/>
    </row>
    <row r="217" ht="15.5" spans="1:19">
      <c r="A217" s="464">
        <v>36</v>
      </c>
      <c r="B217" s="639" t="s">
        <v>358</v>
      </c>
      <c r="C217" s="1023">
        <v>344900.833333334</v>
      </c>
      <c r="D217" s="1021">
        <v>12</v>
      </c>
      <c r="E217" s="1023">
        <f t="shared" si="29"/>
        <v>4138810.00000001</v>
      </c>
      <c r="F217" s="1023"/>
      <c r="G217" s="1023">
        <v>0</v>
      </c>
      <c r="H217" s="1024">
        <v>283104.800000001</v>
      </c>
      <c r="I217" s="938"/>
      <c r="J217" s="1023">
        <f t="shared" si="31"/>
        <v>283104.800000001</v>
      </c>
      <c r="K217" s="1023">
        <f t="shared" si="32"/>
        <v>3855705.20000001</v>
      </c>
      <c r="L217" s="1023">
        <f t="shared" si="33"/>
        <v>484026.936000001</v>
      </c>
      <c r="M217" s="474">
        <v>12</v>
      </c>
      <c r="N217" s="1029">
        <f t="shared" si="34"/>
        <v>40335.5780000001</v>
      </c>
      <c r="O217" s="806">
        <v>40063.0867466667</v>
      </c>
      <c r="P217" s="806">
        <f t="shared" si="35"/>
        <v>272.491253333421</v>
      </c>
      <c r="Q217" s="807"/>
      <c r="R217" s="479"/>
      <c r="S217" s="479"/>
    </row>
    <row r="218" ht="15.5" spans="1:19">
      <c r="A218" s="464">
        <v>37</v>
      </c>
      <c r="B218" s="643" t="s">
        <v>359</v>
      </c>
      <c r="C218" s="1023">
        <v>337890.916666667</v>
      </c>
      <c r="D218" s="1021">
        <v>12</v>
      </c>
      <c r="E218" s="1023">
        <f t="shared" si="29"/>
        <v>4054691</v>
      </c>
      <c r="F218" s="1023"/>
      <c r="G218" s="1023">
        <v>0</v>
      </c>
      <c r="H218" s="1024">
        <v>276375.28</v>
      </c>
      <c r="I218" s="938"/>
      <c r="J218" s="1023">
        <f t="shared" si="31"/>
        <v>276375.28</v>
      </c>
      <c r="K218" s="1023">
        <f t="shared" si="32"/>
        <v>3778315.72</v>
      </c>
      <c r="L218" s="1023">
        <f t="shared" si="33"/>
        <v>470096.829600001</v>
      </c>
      <c r="M218" s="474">
        <v>12</v>
      </c>
      <c r="N218" s="1029">
        <f t="shared" si="34"/>
        <v>39174.7358000001</v>
      </c>
      <c r="O218" s="806">
        <v>40063.0867466667</v>
      </c>
      <c r="P218" s="806">
        <f t="shared" si="35"/>
        <v>-888.350946666644</v>
      </c>
      <c r="Q218" s="807"/>
      <c r="R218" s="479"/>
      <c r="S218" s="479"/>
    </row>
    <row r="219" ht="15.5" spans="1:19">
      <c r="A219" s="464">
        <v>38</v>
      </c>
      <c r="B219" s="351" t="s">
        <v>360</v>
      </c>
      <c r="C219" s="1023">
        <v>337890.916666667</v>
      </c>
      <c r="D219" s="1021">
        <v>12</v>
      </c>
      <c r="E219" s="1023">
        <f t="shared" si="29"/>
        <v>4054691</v>
      </c>
      <c r="F219" s="1023"/>
      <c r="G219" s="1023">
        <v>0</v>
      </c>
      <c r="H219" s="1024">
        <v>276375.28</v>
      </c>
      <c r="I219" s="938"/>
      <c r="J219" s="1023">
        <f t="shared" si="31"/>
        <v>276375.28</v>
      </c>
      <c r="K219" s="1023">
        <f t="shared" si="32"/>
        <v>3778315.72</v>
      </c>
      <c r="L219" s="1023">
        <f t="shared" si="33"/>
        <v>470096.829600001</v>
      </c>
      <c r="M219" s="474">
        <v>12</v>
      </c>
      <c r="N219" s="1029">
        <f t="shared" si="34"/>
        <v>39174.7358000001</v>
      </c>
      <c r="O219" s="806">
        <v>40063.0867466667</v>
      </c>
      <c r="P219" s="806">
        <f t="shared" si="35"/>
        <v>-888.350946666644</v>
      </c>
      <c r="Q219" s="807"/>
      <c r="R219" s="479"/>
      <c r="S219" s="479"/>
    </row>
    <row r="220" ht="15.5" spans="1:19">
      <c r="A220" s="464">
        <v>39</v>
      </c>
      <c r="B220" s="351" t="s">
        <v>361</v>
      </c>
      <c r="C220" s="1023">
        <v>289667.083333333</v>
      </c>
      <c r="D220" s="1021">
        <v>12</v>
      </c>
      <c r="E220" s="1023">
        <f t="shared" si="29"/>
        <v>3476005</v>
      </c>
      <c r="F220" s="1023"/>
      <c r="G220" s="1023">
        <v>51035.475</v>
      </c>
      <c r="H220" s="1024">
        <v>245440.4</v>
      </c>
      <c r="I220" s="938"/>
      <c r="J220" s="1023">
        <f t="shared" si="31"/>
        <v>296475.875</v>
      </c>
      <c r="K220" s="1023">
        <f t="shared" si="32"/>
        <v>3179529.125</v>
      </c>
      <c r="L220" s="1023">
        <f t="shared" si="33"/>
        <v>362315.242499999</v>
      </c>
      <c r="M220" s="474">
        <v>12</v>
      </c>
      <c r="N220" s="1029">
        <f t="shared" si="34"/>
        <v>30192.9368749999</v>
      </c>
      <c r="O220" s="806">
        <v>28951.2198966665</v>
      </c>
      <c r="P220" s="806">
        <f t="shared" si="35"/>
        <v>1241.71697833345</v>
      </c>
      <c r="Q220" s="807"/>
      <c r="R220" s="479"/>
      <c r="S220" s="479"/>
    </row>
    <row r="221" ht="15.5" spans="1:19">
      <c r="A221" s="464">
        <v>40</v>
      </c>
      <c r="B221" s="643" t="s">
        <v>364</v>
      </c>
      <c r="C221" s="1023">
        <v>292667.083333333</v>
      </c>
      <c r="D221" s="1021">
        <v>12</v>
      </c>
      <c r="E221" s="1023">
        <f t="shared" si="29"/>
        <v>3512005</v>
      </c>
      <c r="F221" s="1023"/>
      <c r="G221" s="1023">
        <v>0</v>
      </c>
      <c r="H221" s="1024">
        <v>245440.4</v>
      </c>
      <c r="I221" s="938"/>
      <c r="J221" s="1023">
        <f t="shared" si="31"/>
        <v>245440.4</v>
      </c>
      <c r="K221" s="1023">
        <f t="shared" si="32"/>
        <v>3266564.6</v>
      </c>
      <c r="L221" s="1023">
        <f t="shared" si="33"/>
        <v>377981.627999999</v>
      </c>
      <c r="M221" s="474">
        <v>12</v>
      </c>
      <c r="N221" s="1029">
        <f t="shared" si="34"/>
        <v>31498.4689999999</v>
      </c>
      <c r="O221" s="806">
        <v>30124.2319466666</v>
      </c>
      <c r="P221" s="806">
        <f t="shared" si="35"/>
        <v>1374.23705333334</v>
      </c>
      <c r="Q221" s="807"/>
      <c r="R221" s="479"/>
      <c r="S221" s="479"/>
    </row>
    <row r="222" ht="15.5" spans="1:19">
      <c r="A222" s="464">
        <v>41</v>
      </c>
      <c r="B222" s="643" t="s">
        <v>365</v>
      </c>
      <c r="C222" s="1023">
        <v>289667.083333333</v>
      </c>
      <c r="D222" s="1021">
        <v>12</v>
      </c>
      <c r="E222" s="1023">
        <f t="shared" si="29"/>
        <v>3476005</v>
      </c>
      <c r="F222" s="1023"/>
      <c r="G222" s="1023">
        <v>51035.475</v>
      </c>
      <c r="H222" s="1024">
        <v>245440.4</v>
      </c>
      <c r="I222" s="938"/>
      <c r="J222" s="1023">
        <f t="shared" si="31"/>
        <v>296475.875</v>
      </c>
      <c r="K222" s="1023">
        <f t="shared" si="32"/>
        <v>3179529.125</v>
      </c>
      <c r="L222" s="1023">
        <f t="shared" si="33"/>
        <v>362315.242499999</v>
      </c>
      <c r="M222" s="474">
        <v>12</v>
      </c>
      <c r="N222" s="1029">
        <f t="shared" si="34"/>
        <v>30192.9368749999</v>
      </c>
      <c r="O222" s="806">
        <v>28951.2198966665</v>
      </c>
      <c r="P222" s="806">
        <f t="shared" si="35"/>
        <v>1241.71697833345</v>
      </c>
      <c r="Q222" s="807"/>
      <c r="R222" s="479"/>
      <c r="S222" s="479"/>
    </row>
    <row r="223" ht="15.5" spans="1:19">
      <c r="A223" s="464">
        <v>42</v>
      </c>
      <c r="B223" s="351" t="s">
        <v>366</v>
      </c>
      <c r="C223" s="1023">
        <v>289667.083333333</v>
      </c>
      <c r="D223" s="1021">
        <v>12</v>
      </c>
      <c r="E223" s="1023">
        <f t="shared" si="29"/>
        <v>3476005</v>
      </c>
      <c r="F223" s="1023"/>
      <c r="G223" s="1023">
        <v>0</v>
      </c>
      <c r="H223" s="1024">
        <v>245440.4</v>
      </c>
      <c r="I223" s="938"/>
      <c r="J223" s="1023">
        <f t="shared" si="31"/>
        <v>245440.4</v>
      </c>
      <c r="K223" s="1023">
        <f t="shared" si="32"/>
        <v>3230564.6</v>
      </c>
      <c r="L223" s="1023">
        <f t="shared" si="33"/>
        <v>371501.627999999</v>
      </c>
      <c r="M223" s="474">
        <v>12</v>
      </c>
      <c r="N223" s="1029">
        <f t="shared" si="34"/>
        <v>30958.4689999999</v>
      </c>
      <c r="O223" s="806">
        <v>29620.2319466666</v>
      </c>
      <c r="P223" s="806">
        <f t="shared" si="35"/>
        <v>1338.23705333334</v>
      </c>
      <c r="Q223" s="807"/>
      <c r="R223" s="479"/>
      <c r="S223" s="479"/>
    </row>
    <row r="224" ht="29.25" customHeight="1" spans="1:19">
      <c r="A224" s="464">
        <v>43</v>
      </c>
      <c r="B224" s="643" t="s">
        <v>367</v>
      </c>
      <c r="C224" s="1023">
        <v>286683.75</v>
      </c>
      <c r="D224" s="1021">
        <v>12</v>
      </c>
      <c r="E224" s="1023">
        <f t="shared" si="29"/>
        <v>3440205</v>
      </c>
      <c r="F224" s="1023"/>
      <c r="G224" s="1023">
        <v>0</v>
      </c>
      <c r="H224" s="1024">
        <v>239696.4</v>
      </c>
      <c r="I224" s="938"/>
      <c r="J224" s="1023">
        <f t="shared" si="31"/>
        <v>239696.4</v>
      </c>
      <c r="K224" s="1023">
        <f t="shared" si="32"/>
        <v>3200508.6</v>
      </c>
      <c r="L224" s="1023">
        <f t="shared" si="33"/>
        <v>366091.548</v>
      </c>
      <c r="M224" s="474">
        <v>12</v>
      </c>
      <c r="N224" s="1029">
        <f t="shared" si="34"/>
        <v>30507.629</v>
      </c>
      <c r="O224" s="806">
        <v>29199.4479466668</v>
      </c>
      <c r="P224" s="806">
        <f t="shared" si="35"/>
        <v>1308.1810533332</v>
      </c>
      <c r="Q224" s="807"/>
      <c r="R224" s="479"/>
      <c r="S224" s="479"/>
    </row>
    <row r="225" ht="15.5" spans="1:19">
      <c r="A225" s="464">
        <v>44</v>
      </c>
      <c r="B225" s="643" t="s">
        <v>369</v>
      </c>
      <c r="C225" s="1023">
        <v>283683.75</v>
      </c>
      <c r="D225" s="1021">
        <v>12</v>
      </c>
      <c r="E225" s="1023">
        <f t="shared" si="29"/>
        <v>3404205</v>
      </c>
      <c r="F225" s="1023"/>
      <c r="G225" s="1023">
        <v>0</v>
      </c>
      <c r="H225" s="1024">
        <v>239696.4</v>
      </c>
      <c r="I225" s="938"/>
      <c r="J225" s="1023">
        <f t="shared" si="31"/>
        <v>239696.4</v>
      </c>
      <c r="K225" s="1023">
        <f t="shared" si="32"/>
        <v>3164508.6</v>
      </c>
      <c r="L225" s="1023">
        <f t="shared" si="33"/>
        <v>359611.548</v>
      </c>
      <c r="M225" s="474">
        <v>12</v>
      </c>
      <c r="N225" s="1029">
        <f t="shared" si="34"/>
        <v>29967.629</v>
      </c>
      <c r="O225" s="806">
        <v>28695.4479466668</v>
      </c>
      <c r="P225" s="806">
        <f t="shared" si="35"/>
        <v>1272.1810533332</v>
      </c>
      <c r="Q225" s="807"/>
      <c r="R225" s="479"/>
      <c r="S225" s="479"/>
    </row>
    <row r="226" ht="15.5" spans="1:19">
      <c r="A226" s="464">
        <v>45</v>
      </c>
      <c r="B226" s="643" t="s">
        <v>370</v>
      </c>
      <c r="C226" s="1023">
        <v>286683.75</v>
      </c>
      <c r="D226" s="1021">
        <v>12</v>
      </c>
      <c r="E226" s="1023">
        <f t="shared" si="29"/>
        <v>3440205</v>
      </c>
      <c r="F226" s="1023"/>
      <c r="G226" s="1023">
        <v>0</v>
      </c>
      <c r="H226" s="1024">
        <v>239696.4</v>
      </c>
      <c r="I226" s="938"/>
      <c r="J226" s="1023">
        <f t="shared" si="31"/>
        <v>239696.4</v>
      </c>
      <c r="K226" s="1023">
        <f t="shared" si="32"/>
        <v>3200508.6</v>
      </c>
      <c r="L226" s="1023">
        <f t="shared" si="33"/>
        <v>366091.548</v>
      </c>
      <c r="M226" s="474">
        <v>12</v>
      </c>
      <c r="N226" s="1029">
        <f t="shared" si="34"/>
        <v>30507.629</v>
      </c>
      <c r="O226" s="806">
        <v>29199.4479466668</v>
      </c>
      <c r="P226" s="806">
        <f t="shared" si="35"/>
        <v>1308.1810533332</v>
      </c>
      <c r="Q226" s="807"/>
      <c r="R226" s="479"/>
      <c r="S226" s="479"/>
    </row>
    <row r="227" ht="15.5" spans="1:19">
      <c r="A227" s="464">
        <v>46</v>
      </c>
      <c r="B227" s="643" t="s">
        <v>371</v>
      </c>
      <c r="C227" s="1023">
        <v>283683.75</v>
      </c>
      <c r="D227" s="1021">
        <v>12</v>
      </c>
      <c r="E227" s="1023">
        <f t="shared" si="29"/>
        <v>3404205</v>
      </c>
      <c r="F227" s="1023"/>
      <c r="G227" s="1023">
        <v>0</v>
      </c>
      <c r="H227" s="1024">
        <v>239696.4</v>
      </c>
      <c r="I227" s="938"/>
      <c r="J227" s="1023">
        <f t="shared" si="31"/>
        <v>239696.4</v>
      </c>
      <c r="K227" s="1023">
        <f t="shared" si="32"/>
        <v>3164508.6</v>
      </c>
      <c r="L227" s="1023">
        <f t="shared" si="33"/>
        <v>359611.548</v>
      </c>
      <c r="M227" s="474">
        <v>12</v>
      </c>
      <c r="N227" s="1029">
        <f t="shared" si="34"/>
        <v>29967.629</v>
      </c>
      <c r="O227" s="806">
        <v>28695.4479466668</v>
      </c>
      <c r="P227" s="806">
        <f t="shared" si="35"/>
        <v>1272.1810533332</v>
      </c>
      <c r="Q227" s="807"/>
      <c r="R227" s="479"/>
      <c r="S227" s="479"/>
    </row>
    <row r="228" ht="15.5" spans="1:19">
      <c r="A228" s="464">
        <v>47</v>
      </c>
      <c r="B228" s="643" t="s">
        <v>372</v>
      </c>
      <c r="C228" s="938">
        <v>283683.75</v>
      </c>
      <c r="D228" s="1021">
        <v>12</v>
      </c>
      <c r="E228" s="1023">
        <f t="shared" si="29"/>
        <v>3404205</v>
      </c>
      <c r="F228" s="1023"/>
      <c r="G228" s="1023">
        <v>0</v>
      </c>
      <c r="H228" s="1024">
        <v>239696.4</v>
      </c>
      <c r="I228" s="938"/>
      <c r="J228" s="1023">
        <f t="shared" si="31"/>
        <v>239696.4</v>
      </c>
      <c r="K228" s="1023">
        <f t="shared" si="32"/>
        <v>3164508.6</v>
      </c>
      <c r="L228" s="1023">
        <f t="shared" si="33"/>
        <v>359611.548</v>
      </c>
      <c r="M228" s="474">
        <v>12</v>
      </c>
      <c r="N228" s="1029">
        <f t="shared" si="34"/>
        <v>29967.629</v>
      </c>
      <c r="O228" s="806">
        <v>28695.4479466668</v>
      </c>
      <c r="P228" s="806">
        <f t="shared" si="35"/>
        <v>1272.1810533332</v>
      </c>
      <c r="Q228" s="807"/>
      <c r="R228" s="479"/>
      <c r="S228" s="479"/>
    </row>
    <row r="229" ht="15.5" spans="1:17">
      <c r="A229" s="464">
        <v>48</v>
      </c>
      <c r="B229" s="643" t="s">
        <v>373</v>
      </c>
      <c r="C229" s="938">
        <v>274717.166666667</v>
      </c>
      <c r="D229" s="1021">
        <v>12</v>
      </c>
      <c r="E229" s="1023">
        <f t="shared" si="29"/>
        <v>3296606</v>
      </c>
      <c r="F229" s="1023"/>
      <c r="G229" s="1023">
        <v>0</v>
      </c>
      <c r="H229" s="1024">
        <v>228208.48</v>
      </c>
      <c r="I229" s="938"/>
      <c r="J229" s="1023">
        <f t="shared" si="31"/>
        <v>228208.48</v>
      </c>
      <c r="K229" s="1023">
        <f t="shared" si="32"/>
        <v>3068397.52</v>
      </c>
      <c r="L229" s="1023">
        <f t="shared" si="33"/>
        <v>342311.553600001</v>
      </c>
      <c r="M229" s="474">
        <v>12</v>
      </c>
      <c r="N229" s="1029">
        <f t="shared" si="34"/>
        <v>28525.9628000001</v>
      </c>
      <c r="O229" s="806">
        <v>27349.9057066666</v>
      </c>
      <c r="P229" s="806">
        <f t="shared" si="35"/>
        <v>1176.05709333346</v>
      </c>
      <c r="Q229" s="807"/>
    </row>
    <row r="230" ht="15.5" spans="1:17">
      <c r="A230" s="464">
        <v>49</v>
      </c>
      <c r="B230" s="351" t="s">
        <v>376</v>
      </c>
      <c r="C230" s="806">
        <v>274717.166666667</v>
      </c>
      <c r="D230" s="1021">
        <v>12</v>
      </c>
      <c r="E230" s="1023">
        <f t="shared" si="29"/>
        <v>3296606</v>
      </c>
      <c r="F230" s="1023"/>
      <c r="G230" s="806">
        <v>0</v>
      </c>
      <c r="H230" s="1024">
        <v>228208.48</v>
      </c>
      <c r="I230" s="807"/>
      <c r="J230" s="1023">
        <f t="shared" si="31"/>
        <v>228208.48</v>
      </c>
      <c r="K230" s="1023">
        <f t="shared" si="32"/>
        <v>3068397.52</v>
      </c>
      <c r="L230" s="1023">
        <f t="shared" si="33"/>
        <v>342311.553600001</v>
      </c>
      <c r="M230" s="474">
        <v>12</v>
      </c>
      <c r="N230" s="1029">
        <f t="shared" si="34"/>
        <v>28525.9628000001</v>
      </c>
      <c r="O230" s="806">
        <v>27349.9057066666</v>
      </c>
      <c r="P230" s="806">
        <f t="shared" si="35"/>
        <v>1176.05709333346</v>
      </c>
      <c r="Q230" s="807"/>
    </row>
    <row r="231" ht="15.5" spans="1:17">
      <c r="A231" s="464">
        <v>50</v>
      </c>
      <c r="B231" s="351" t="s">
        <v>377</v>
      </c>
      <c r="C231" s="806">
        <v>280700.416666667</v>
      </c>
      <c r="D231" s="1021">
        <v>12</v>
      </c>
      <c r="E231" s="1023">
        <f t="shared" si="29"/>
        <v>3368405</v>
      </c>
      <c r="F231" s="1023"/>
      <c r="G231" s="806">
        <v>0</v>
      </c>
      <c r="H231" s="1024">
        <v>233952.4</v>
      </c>
      <c r="I231" s="807"/>
      <c r="J231" s="1023">
        <f t="shared" si="31"/>
        <v>233952.4</v>
      </c>
      <c r="K231" s="1023">
        <f t="shared" si="32"/>
        <v>3134452.6</v>
      </c>
      <c r="L231" s="1023">
        <f t="shared" si="33"/>
        <v>354201.468000001</v>
      </c>
      <c r="M231" s="474">
        <v>12</v>
      </c>
      <c r="N231" s="1029">
        <f t="shared" si="34"/>
        <v>29516.7890000001</v>
      </c>
      <c r="O231" s="806">
        <v>28274.6768266666</v>
      </c>
      <c r="P231" s="806">
        <f t="shared" si="35"/>
        <v>1242.11217333346</v>
      </c>
      <c r="Q231" s="807"/>
    </row>
    <row r="232" ht="15.5" spans="1:17">
      <c r="A232" s="464">
        <v>51</v>
      </c>
      <c r="B232" s="643" t="s">
        <v>379</v>
      </c>
      <c r="C232" s="806">
        <v>252750.583333333</v>
      </c>
      <c r="D232" s="1021">
        <v>12</v>
      </c>
      <c r="E232" s="1023">
        <f t="shared" si="29"/>
        <v>3033007</v>
      </c>
      <c r="F232" s="1023"/>
      <c r="G232" s="806">
        <v>0</v>
      </c>
      <c r="H232" s="1024">
        <v>216720.56</v>
      </c>
      <c r="I232" s="807"/>
      <c r="J232" s="1023">
        <f t="shared" si="31"/>
        <v>216720.56</v>
      </c>
      <c r="K232" s="1023">
        <f t="shared" si="32"/>
        <v>2816286.44</v>
      </c>
      <c r="L232" s="1023">
        <f t="shared" si="33"/>
        <v>302442.965999999</v>
      </c>
      <c r="M232" s="474">
        <v>12</v>
      </c>
      <c r="N232" s="1029">
        <f t="shared" si="34"/>
        <v>25203.5804999999</v>
      </c>
      <c r="O232" s="806">
        <v>24745.1217066667</v>
      </c>
      <c r="P232" s="806">
        <f t="shared" si="35"/>
        <v>458.458793333248</v>
      </c>
      <c r="Q232" s="807"/>
    </row>
    <row r="233" ht="15.5" spans="1:17">
      <c r="A233" s="464">
        <v>52</v>
      </c>
      <c r="B233" s="643" t="s">
        <v>382</v>
      </c>
      <c r="C233" s="806">
        <v>252750.583333333</v>
      </c>
      <c r="D233" s="1021">
        <v>12</v>
      </c>
      <c r="E233" s="1023">
        <f t="shared" si="29"/>
        <v>3033007</v>
      </c>
      <c r="F233" s="1023"/>
      <c r="G233" s="806">
        <v>0</v>
      </c>
      <c r="H233" s="1024">
        <v>216720.56</v>
      </c>
      <c r="I233" s="807"/>
      <c r="J233" s="1023">
        <f t="shared" si="31"/>
        <v>216720.56</v>
      </c>
      <c r="K233" s="1023">
        <f t="shared" si="32"/>
        <v>2816286.44</v>
      </c>
      <c r="L233" s="1023">
        <f t="shared" si="33"/>
        <v>302442.965999999</v>
      </c>
      <c r="M233" s="474">
        <v>12</v>
      </c>
      <c r="N233" s="1029">
        <f t="shared" si="34"/>
        <v>25203.5804999999</v>
      </c>
      <c r="O233" s="806">
        <v>24745.1217066667</v>
      </c>
      <c r="P233" s="806">
        <f t="shared" si="35"/>
        <v>458.458793333248</v>
      </c>
      <c r="Q233" s="807"/>
    </row>
    <row r="234" ht="15.5" spans="1:17">
      <c r="A234" s="464">
        <v>53</v>
      </c>
      <c r="B234" s="351" t="s">
        <v>383</v>
      </c>
      <c r="C234" s="806">
        <v>252750.583333333</v>
      </c>
      <c r="D234" s="1021">
        <v>12</v>
      </c>
      <c r="E234" s="1023">
        <f t="shared" ref="E234:E248" si="36">C234*D234</f>
        <v>3033007</v>
      </c>
      <c r="F234" s="1023"/>
      <c r="G234" s="806">
        <v>0</v>
      </c>
      <c r="H234" s="1024">
        <v>216720.56</v>
      </c>
      <c r="I234" s="807"/>
      <c r="J234" s="1023">
        <f t="shared" si="31"/>
        <v>216720.56</v>
      </c>
      <c r="K234" s="1023">
        <f t="shared" si="32"/>
        <v>2816286.44</v>
      </c>
      <c r="L234" s="1023">
        <f t="shared" si="33"/>
        <v>302442.966</v>
      </c>
      <c r="M234" s="474">
        <v>12</v>
      </c>
      <c r="N234" s="1029">
        <f t="shared" si="34"/>
        <v>25203.5805</v>
      </c>
      <c r="O234" s="806">
        <v>24745.1217066667</v>
      </c>
      <c r="P234" s="806">
        <f t="shared" si="35"/>
        <v>458.458793333295</v>
      </c>
      <c r="Q234" s="807"/>
    </row>
    <row r="235" ht="15.5" spans="1:17">
      <c r="A235" s="464">
        <v>54</v>
      </c>
      <c r="B235" s="351" t="s">
        <v>384</v>
      </c>
      <c r="C235" s="806">
        <v>252750.583333333</v>
      </c>
      <c r="D235" s="1021">
        <v>12</v>
      </c>
      <c r="E235" s="1023">
        <f t="shared" si="36"/>
        <v>3033007</v>
      </c>
      <c r="F235" s="1023"/>
      <c r="G235" s="806">
        <v>0</v>
      </c>
      <c r="H235" s="1024">
        <v>216720.56</v>
      </c>
      <c r="I235" s="807"/>
      <c r="J235" s="1023">
        <f t="shared" si="31"/>
        <v>216720.56</v>
      </c>
      <c r="K235" s="1023">
        <f t="shared" si="32"/>
        <v>2816286.44</v>
      </c>
      <c r="L235" s="1023">
        <f t="shared" si="33"/>
        <v>302442.966</v>
      </c>
      <c r="M235" s="474">
        <v>12</v>
      </c>
      <c r="N235" s="1029">
        <f t="shared" si="34"/>
        <v>25203.5805</v>
      </c>
      <c r="O235" s="806">
        <v>24745.1217066667</v>
      </c>
      <c r="P235" s="806">
        <f t="shared" si="35"/>
        <v>458.458793333295</v>
      </c>
      <c r="Q235" s="807"/>
    </row>
    <row r="236" ht="15.5" spans="1:17">
      <c r="A236" s="464">
        <v>55</v>
      </c>
      <c r="B236" s="351" t="s">
        <v>385</v>
      </c>
      <c r="C236" s="806">
        <v>252750.583333333</v>
      </c>
      <c r="D236" s="1021">
        <v>12</v>
      </c>
      <c r="E236" s="1023">
        <f t="shared" si="36"/>
        <v>3033007</v>
      </c>
      <c r="F236" s="1023"/>
      <c r="G236" s="806">
        <v>0</v>
      </c>
      <c r="H236" s="1024">
        <v>216720.56</v>
      </c>
      <c r="I236" s="807"/>
      <c r="J236" s="1023">
        <f t="shared" si="31"/>
        <v>216720.56</v>
      </c>
      <c r="K236" s="1023">
        <f t="shared" si="32"/>
        <v>2816286.44</v>
      </c>
      <c r="L236" s="1023">
        <f t="shared" si="33"/>
        <v>302442.966</v>
      </c>
      <c r="M236" s="474">
        <v>12</v>
      </c>
      <c r="N236" s="1029">
        <f t="shared" si="34"/>
        <v>25203.5805</v>
      </c>
      <c r="O236" s="806">
        <v>24745.1217066667</v>
      </c>
      <c r="P236" s="806">
        <f t="shared" si="35"/>
        <v>458.458793333295</v>
      </c>
      <c r="Q236" s="807"/>
    </row>
    <row r="237" ht="15.5" spans="1:17">
      <c r="A237" s="464">
        <v>56</v>
      </c>
      <c r="B237" s="351" t="s">
        <v>386</v>
      </c>
      <c r="C237" s="806">
        <v>252750.583333333</v>
      </c>
      <c r="D237" s="1021">
        <v>12</v>
      </c>
      <c r="E237" s="1023">
        <f t="shared" si="36"/>
        <v>3033007</v>
      </c>
      <c r="F237" s="1023"/>
      <c r="G237" s="806">
        <v>0</v>
      </c>
      <c r="H237" s="1024">
        <v>216720.56</v>
      </c>
      <c r="I237" s="807"/>
      <c r="J237" s="1023">
        <f t="shared" si="31"/>
        <v>216720.56</v>
      </c>
      <c r="K237" s="1023">
        <f t="shared" si="32"/>
        <v>2816286.44</v>
      </c>
      <c r="L237" s="1023">
        <f t="shared" si="33"/>
        <v>302442.966</v>
      </c>
      <c r="M237" s="474">
        <v>12</v>
      </c>
      <c r="N237" s="1029">
        <f t="shared" si="34"/>
        <v>25203.5805</v>
      </c>
      <c r="O237" s="806">
        <v>24745.1217066667</v>
      </c>
      <c r="P237" s="806">
        <f t="shared" si="35"/>
        <v>458.458793333295</v>
      </c>
      <c r="Q237" s="807"/>
    </row>
    <row r="238" ht="15.5" spans="1:17">
      <c r="A238" s="464">
        <v>57</v>
      </c>
      <c r="B238" s="351" t="s">
        <v>387</v>
      </c>
      <c r="C238" s="806">
        <v>258733.833333334</v>
      </c>
      <c r="D238" s="1021">
        <v>12</v>
      </c>
      <c r="E238" s="1023">
        <f t="shared" si="36"/>
        <v>3104806.00000001</v>
      </c>
      <c r="F238" s="1023"/>
      <c r="G238" s="806">
        <v>0</v>
      </c>
      <c r="H238" s="1024">
        <v>222464.480000001</v>
      </c>
      <c r="I238" s="807"/>
      <c r="J238" s="1023">
        <f t="shared" si="31"/>
        <v>222464.480000001</v>
      </c>
      <c r="K238" s="1023">
        <f t="shared" si="32"/>
        <v>2882341.52000001</v>
      </c>
      <c r="L238" s="1023">
        <f t="shared" si="33"/>
        <v>312351.228000001</v>
      </c>
      <c r="M238" s="474">
        <v>12</v>
      </c>
      <c r="N238" s="1029">
        <f t="shared" si="34"/>
        <v>26029.2690000001</v>
      </c>
      <c r="O238" s="806">
        <v>24745.1217066667</v>
      </c>
      <c r="P238" s="806">
        <f t="shared" si="35"/>
        <v>1284.14729333341</v>
      </c>
      <c r="Q238" s="807"/>
    </row>
    <row r="239" ht="15.5" spans="1:17">
      <c r="A239" s="464">
        <v>58</v>
      </c>
      <c r="B239" s="351" t="s">
        <v>389</v>
      </c>
      <c r="C239" s="806">
        <v>176217.75</v>
      </c>
      <c r="D239" s="1021">
        <v>12</v>
      </c>
      <c r="E239" s="1023">
        <f t="shared" si="36"/>
        <v>2114613</v>
      </c>
      <c r="F239" s="1023"/>
      <c r="G239" s="806">
        <v>0</v>
      </c>
      <c r="H239" s="1043">
        <v>143249.04</v>
      </c>
      <c r="I239" s="807"/>
      <c r="J239" s="1023">
        <f t="shared" si="31"/>
        <v>143249.04</v>
      </c>
      <c r="K239" s="1023">
        <f t="shared" si="32"/>
        <v>1971363.96</v>
      </c>
      <c r="L239" s="1023">
        <f t="shared" si="33"/>
        <v>175704.594</v>
      </c>
      <c r="M239" s="474">
        <v>12</v>
      </c>
      <c r="N239" s="1029">
        <f t="shared" si="34"/>
        <v>14642.0495</v>
      </c>
      <c r="O239" s="806">
        <v>14737.1945866667</v>
      </c>
      <c r="P239" s="806">
        <f t="shared" si="35"/>
        <v>-95.1450866667001</v>
      </c>
      <c r="Q239" s="807"/>
    </row>
    <row r="240" ht="15.5" spans="1:17">
      <c r="A240" s="464">
        <v>59</v>
      </c>
      <c r="B240" s="351" t="s">
        <v>392</v>
      </c>
      <c r="C240" s="806">
        <v>176217.75</v>
      </c>
      <c r="D240" s="1021">
        <v>12</v>
      </c>
      <c r="E240" s="1023">
        <f t="shared" si="36"/>
        <v>2114613</v>
      </c>
      <c r="F240" s="1023"/>
      <c r="G240" s="806">
        <v>0</v>
      </c>
      <c r="H240" s="1043">
        <v>143249.04</v>
      </c>
      <c r="I240" s="931"/>
      <c r="J240" s="1023">
        <f t="shared" si="31"/>
        <v>143249.04</v>
      </c>
      <c r="K240" s="1023">
        <f t="shared" si="32"/>
        <v>1971363.96</v>
      </c>
      <c r="L240" s="1023">
        <f t="shared" si="33"/>
        <v>175704.594</v>
      </c>
      <c r="M240" s="474">
        <v>12</v>
      </c>
      <c r="N240" s="1029">
        <f t="shared" si="34"/>
        <v>14642.0495</v>
      </c>
      <c r="O240" s="806">
        <v>14737.1945866667</v>
      </c>
      <c r="P240" s="806">
        <f t="shared" si="35"/>
        <v>-95.1450866667001</v>
      </c>
      <c r="Q240" s="807"/>
    </row>
    <row r="241" ht="17" customHeight="1" spans="1:17">
      <c r="A241" s="1044">
        <v>60</v>
      </c>
      <c r="B241" s="1045" t="s">
        <v>394</v>
      </c>
      <c r="C241" s="931">
        <v>167634.666666667</v>
      </c>
      <c r="D241" s="1021">
        <v>12</v>
      </c>
      <c r="E241" s="1023">
        <f t="shared" si="36"/>
        <v>2011616</v>
      </c>
      <c r="F241" s="1046"/>
      <c r="G241" s="931">
        <v>0</v>
      </c>
      <c r="H241" s="1043">
        <v>135009.28</v>
      </c>
      <c r="I241" s="931"/>
      <c r="J241" s="1023">
        <f t="shared" si="31"/>
        <v>135009.28</v>
      </c>
      <c r="K241" s="1023">
        <f t="shared" si="32"/>
        <v>1876606.72</v>
      </c>
      <c r="L241" s="1023">
        <f t="shared" si="33"/>
        <v>161491.008</v>
      </c>
      <c r="M241" s="474">
        <v>12</v>
      </c>
      <c r="N241" s="1029">
        <f t="shared" si="34"/>
        <v>13457.584</v>
      </c>
      <c r="O241" s="931">
        <v>13536.9129066667</v>
      </c>
      <c r="P241" s="806">
        <f t="shared" si="35"/>
        <v>-79.3289066666985</v>
      </c>
      <c r="Q241" s="807"/>
    </row>
    <row r="242" ht="19" customHeight="1" spans="1:18">
      <c r="A242" s="86">
        <v>61</v>
      </c>
      <c r="B242" s="1047" t="s">
        <v>397</v>
      </c>
      <c r="C242" s="806">
        <v>159773.5</v>
      </c>
      <c r="D242" s="1021">
        <v>12</v>
      </c>
      <c r="E242" s="1023">
        <f t="shared" si="36"/>
        <v>1917282</v>
      </c>
      <c r="F242" s="806"/>
      <c r="G242" s="806">
        <v>0</v>
      </c>
      <c r="H242" s="806">
        <v>132262.56</v>
      </c>
      <c r="I242" s="806"/>
      <c r="J242" s="1023">
        <f t="shared" si="31"/>
        <v>132262.56</v>
      </c>
      <c r="K242" s="1023">
        <f t="shared" si="32"/>
        <v>1785019.44</v>
      </c>
      <c r="L242" s="1023">
        <f t="shared" si="33"/>
        <v>147752.916</v>
      </c>
      <c r="M242" s="474">
        <v>12</v>
      </c>
      <c r="N242" s="1029">
        <f t="shared" si="34"/>
        <v>12312.743</v>
      </c>
      <c r="O242" s="806">
        <v>12376.8539733334</v>
      </c>
      <c r="P242" s="806">
        <f t="shared" si="35"/>
        <v>-64.1109733333997</v>
      </c>
      <c r="Q242" s="806"/>
      <c r="R242" s="1057"/>
    </row>
    <row r="243" ht="15.5" spans="1:18">
      <c r="A243" s="86">
        <v>62</v>
      </c>
      <c r="B243" s="86" t="s">
        <v>399</v>
      </c>
      <c r="C243" s="806">
        <v>156912.666666667</v>
      </c>
      <c r="D243" s="1021">
        <v>12</v>
      </c>
      <c r="E243" s="1023">
        <f t="shared" si="36"/>
        <v>1882952</v>
      </c>
      <c r="F243" s="806"/>
      <c r="G243" s="806">
        <v>0</v>
      </c>
      <c r="H243" s="806">
        <v>129516.16</v>
      </c>
      <c r="I243" s="806"/>
      <c r="J243" s="1023">
        <f t="shared" si="31"/>
        <v>129516.16</v>
      </c>
      <c r="K243" s="1023">
        <f t="shared" si="32"/>
        <v>1753435.84</v>
      </c>
      <c r="L243" s="1023">
        <f t="shared" si="33"/>
        <v>143015.376</v>
      </c>
      <c r="M243" s="474">
        <v>12</v>
      </c>
      <c r="N243" s="1029">
        <f t="shared" si="34"/>
        <v>11917.948</v>
      </c>
      <c r="O243" s="806">
        <v>12376.8539733334</v>
      </c>
      <c r="P243" s="806">
        <f t="shared" si="35"/>
        <v>-458.905973333398</v>
      </c>
      <c r="Q243" s="806"/>
      <c r="R243" s="1057"/>
    </row>
    <row r="244" ht="15.5" spans="1:18">
      <c r="A244" s="86">
        <v>63</v>
      </c>
      <c r="B244" s="86" t="s">
        <v>401</v>
      </c>
      <c r="C244" s="806">
        <v>150512.166666667</v>
      </c>
      <c r="D244" s="1021">
        <v>12</v>
      </c>
      <c r="E244" s="1023">
        <f t="shared" si="36"/>
        <v>1806146</v>
      </c>
      <c r="F244" s="806"/>
      <c r="G244" s="806">
        <v>0</v>
      </c>
      <c r="H244" s="806">
        <v>126251.68</v>
      </c>
      <c r="I244" s="806"/>
      <c r="J244" s="1023">
        <f t="shared" si="31"/>
        <v>126251.68</v>
      </c>
      <c r="K244" s="1023">
        <f t="shared" si="32"/>
        <v>1679894.32</v>
      </c>
      <c r="L244" s="1023">
        <f t="shared" si="33"/>
        <v>131984.148</v>
      </c>
      <c r="M244" s="474">
        <v>12</v>
      </c>
      <c r="N244" s="1029">
        <f t="shared" si="34"/>
        <v>10998.679</v>
      </c>
      <c r="O244" s="806">
        <v>11100.9370933334</v>
      </c>
      <c r="P244" s="806">
        <f t="shared" si="35"/>
        <v>-102.258093333397</v>
      </c>
      <c r="Q244" s="806"/>
      <c r="R244" s="1057"/>
    </row>
    <row r="245" ht="15.5" spans="1:18">
      <c r="A245" s="86">
        <v>64</v>
      </c>
      <c r="B245" s="86" t="s">
        <v>404</v>
      </c>
      <c r="C245" s="806">
        <v>150512.166666667</v>
      </c>
      <c r="D245" s="1021">
        <v>12</v>
      </c>
      <c r="E245" s="1023">
        <f t="shared" si="36"/>
        <v>1806146</v>
      </c>
      <c r="F245" s="806"/>
      <c r="G245" s="806">
        <v>0</v>
      </c>
      <c r="H245" s="806">
        <v>126251.68</v>
      </c>
      <c r="I245" s="806"/>
      <c r="J245" s="1023">
        <f t="shared" si="31"/>
        <v>126251.68</v>
      </c>
      <c r="K245" s="1023">
        <f t="shared" si="32"/>
        <v>1679894.32</v>
      </c>
      <c r="L245" s="1023">
        <f t="shared" si="33"/>
        <v>131984.148</v>
      </c>
      <c r="M245" s="474">
        <v>12</v>
      </c>
      <c r="N245" s="1029">
        <f t="shared" si="34"/>
        <v>10998.679</v>
      </c>
      <c r="O245" s="806">
        <v>11100.9370933334</v>
      </c>
      <c r="P245" s="806">
        <f t="shared" si="35"/>
        <v>-102.258093333397</v>
      </c>
      <c r="Q245" s="806"/>
      <c r="R245" s="1057"/>
    </row>
    <row r="246" ht="15.5" spans="1:18">
      <c r="A246" s="86">
        <v>65</v>
      </c>
      <c r="B246" s="86" t="s">
        <v>405</v>
      </c>
      <c r="C246" s="806">
        <v>150512.166666667</v>
      </c>
      <c r="D246" s="1021">
        <v>12</v>
      </c>
      <c r="E246" s="1023">
        <f t="shared" si="36"/>
        <v>1806146</v>
      </c>
      <c r="F246" s="806"/>
      <c r="G246" s="806">
        <v>0</v>
      </c>
      <c r="H246" s="806">
        <v>126251.68</v>
      </c>
      <c r="I246" s="806"/>
      <c r="J246" s="1023">
        <f t="shared" si="31"/>
        <v>126251.68</v>
      </c>
      <c r="K246" s="1023">
        <f t="shared" si="32"/>
        <v>1679894.32</v>
      </c>
      <c r="L246" s="1023">
        <f t="shared" si="33"/>
        <v>131984.148</v>
      </c>
      <c r="M246" s="474">
        <v>12</v>
      </c>
      <c r="N246" s="1029">
        <f t="shared" si="34"/>
        <v>10998.679</v>
      </c>
      <c r="O246" s="806">
        <v>11100.9370933334</v>
      </c>
      <c r="P246" s="806">
        <f t="shared" si="35"/>
        <v>-102.258093333397</v>
      </c>
      <c r="Q246" s="806"/>
      <c r="R246" s="1057"/>
    </row>
    <row r="247" ht="15.5" spans="1:18">
      <c r="A247" s="86">
        <v>66</v>
      </c>
      <c r="B247" s="86" t="s">
        <v>406</v>
      </c>
      <c r="C247" s="806">
        <v>165495.666666667</v>
      </c>
      <c r="D247" s="1021">
        <v>12</v>
      </c>
      <c r="E247" s="1023">
        <f t="shared" si="36"/>
        <v>1985948</v>
      </c>
      <c r="F247" s="806"/>
      <c r="G247" s="806">
        <v>29846.075</v>
      </c>
      <c r="H247" s="806">
        <v>137755.84</v>
      </c>
      <c r="I247" s="806"/>
      <c r="J247" s="1023">
        <f t="shared" si="31"/>
        <v>167601.915</v>
      </c>
      <c r="K247" s="1023">
        <f t="shared" si="32"/>
        <v>1818346.085</v>
      </c>
      <c r="L247" s="1023">
        <f t="shared" si="33"/>
        <v>152751.91275</v>
      </c>
      <c r="M247" s="474">
        <v>12</v>
      </c>
      <c r="N247" s="1029">
        <f t="shared" si="34"/>
        <v>12729.3260625</v>
      </c>
      <c r="O247" s="806">
        <v>13177.0184533334</v>
      </c>
      <c r="P247" s="806">
        <f t="shared" si="35"/>
        <v>-447.692390833401</v>
      </c>
      <c r="Q247" s="806"/>
      <c r="R247" s="1057"/>
    </row>
    <row r="248" ht="15.5" spans="1:18">
      <c r="A248" s="86">
        <v>67</v>
      </c>
      <c r="B248" s="86" t="s">
        <v>409</v>
      </c>
      <c r="C248" s="806">
        <v>165495.666666667</v>
      </c>
      <c r="D248" s="1021">
        <v>12</v>
      </c>
      <c r="E248" s="1023">
        <f t="shared" si="36"/>
        <v>1985948</v>
      </c>
      <c r="F248" s="806"/>
      <c r="G248" s="806">
        <v>0</v>
      </c>
      <c r="H248" s="806">
        <v>137755.84</v>
      </c>
      <c r="I248" s="806"/>
      <c r="J248" s="1023">
        <f t="shared" si="31"/>
        <v>137755.84</v>
      </c>
      <c r="K248" s="1023">
        <f t="shared" si="32"/>
        <v>1848192.16</v>
      </c>
      <c r="L248" s="1023">
        <f t="shared" si="33"/>
        <v>157228.824</v>
      </c>
      <c r="M248" s="474">
        <v>12</v>
      </c>
      <c r="N248" s="1029">
        <f t="shared" si="34"/>
        <v>13102.402</v>
      </c>
      <c r="O248" s="806">
        <v>13177.0184533334</v>
      </c>
      <c r="P248" s="806">
        <f t="shared" si="35"/>
        <v>-74.6164533333995</v>
      </c>
      <c r="Q248" s="806"/>
      <c r="R248" s="1057"/>
    </row>
    <row r="249" ht="15.5" spans="1:18">
      <c r="A249" s="86"/>
      <c r="B249" s="86" t="s">
        <v>120</v>
      </c>
      <c r="C249" s="1048">
        <f>SUM(C182:C248)</f>
        <v>26236501.0833333</v>
      </c>
      <c r="D249" s="1049"/>
      <c r="E249" s="1048">
        <f t="shared" ref="D249:P249" si="37">SUM(E182:E248)</f>
        <v>314838013</v>
      </c>
      <c r="F249" s="1048"/>
      <c r="G249" s="1048">
        <f t="shared" si="37"/>
        <v>2043336.25</v>
      </c>
      <c r="H249" s="1048">
        <f t="shared" si="37"/>
        <v>22329984.88</v>
      </c>
      <c r="I249" s="1048">
        <f t="shared" si="37"/>
        <v>0</v>
      </c>
      <c r="J249" s="1048">
        <f t="shared" si="37"/>
        <v>24373321.13</v>
      </c>
      <c r="K249" s="1048">
        <f t="shared" si="37"/>
        <v>290464691.87</v>
      </c>
      <c r="L249" s="1048">
        <f t="shared" si="37"/>
        <v>39097940.21775</v>
      </c>
      <c r="M249" s="1048"/>
      <c r="N249" s="1053">
        <f t="shared" si="37"/>
        <v>3258161.6848125</v>
      </c>
      <c r="O249" s="1048">
        <f t="shared" si="37"/>
        <v>3263320.09278086</v>
      </c>
      <c r="P249" s="1048">
        <f t="shared" si="37"/>
        <v>-5158.40796836406</v>
      </c>
      <c r="Q249" s="806"/>
      <c r="R249" s="1057"/>
    </row>
    <row r="250" ht="15.5" spans="1:18">
      <c r="A250" s="86"/>
      <c r="B250" s="86"/>
      <c r="C250" s="1048"/>
      <c r="D250" s="1049"/>
      <c r="E250" s="1048"/>
      <c r="F250" s="1048"/>
      <c r="G250" s="1048"/>
      <c r="H250" s="1048"/>
      <c r="I250" s="1048"/>
      <c r="J250" s="1048"/>
      <c r="K250" s="1048"/>
      <c r="L250" s="1048"/>
      <c r="M250" s="1048"/>
      <c r="N250" s="1053"/>
      <c r="O250" s="1048"/>
      <c r="P250" s="1048"/>
      <c r="Q250" s="806"/>
      <c r="R250" s="1057"/>
    </row>
    <row r="251" ht="23" customHeight="1" spans="1:18">
      <c r="A251" s="86"/>
      <c r="B251" s="670" t="s">
        <v>411</v>
      </c>
      <c r="C251" s="933">
        <f>C249+C179+C164+C156+C145+C131+C121+C105+C91+C77+C72+C57+C47</f>
        <v>121799046.878333</v>
      </c>
      <c r="D251" s="1050"/>
      <c r="E251" s="933">
        <f t="shared" ref="D251:P251" si="38">E249+E179+E164+E156+E145+E131+E121+E105+E91+E77+E72+E57+E47</f>
        <v>1461588562.54</v>
      </c>
      <c r="F251" s="933"/>
      <c r="G251" s="933">
        <f t="shared" si="38"/>
        <v>8133765.225</v>
      </c>
      <c r="H251" s="933">
        <f t="shared" si="38"/>
        <v>94929105.4399999</v>
      </c>
      <c r="I251" s="933">
        <f t="shared" si="38"/>
        <v>0</v>
      </c>
      <c r="J251" s="933">
        <f t="shared" si="38"/>
        <v>103062870.665</v>
      </c>
      <c r="K251" s="933">
        <f t="shared" si="38"/>
        <v>1358525691.875</v>
      </c>
      <c r="L251" s="933">
        <f t="shared" si="38"/>
        <v>205049662.32615</v>
      </c>
      <c r="M251" s="933"/>
      <c r="N251" s="1054">
        <f t="shared" si="38"/>
        <v>17007533.9161125</v>
      </c>
      <c r="O251" s="933">
        <f t="shared" si="38"/>
        <v>17213181.4353675</v>
      </c>
      <c r="P251" s="1054">
        <f t="shared" si="38"/>
        <v>-205647.519255043</v>
      </c>
      <c r="Q251" s="281"/>
      <c r="R251" s="1057"/>
    </row>
    <row r="252" ht="15.5" spans="1:17">
      <c r="A252" s="86"/>
      <c r="B252" s="86"/>
      <c r="C252" s="86"/>
      <c r="D252" s="1051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1055"/>
      <c r="P252" s="86"/>
      <c r="Q252" s="86"/>
    </row>
    <row r="253" ht="15.5" spans="1:17">
      <c r="A253" s="636"/>
      <c r="B253" s="636"/>
      <c r="C253" s="636"/>
      <c r="D253" s="1052"/>
      <c r="E253" s="636"/>
      <c r="F253" s="636"/>
      <c r="G253" s="636"/>
      <c r="H253" s="636"/>
      <c r="I253" s="636"/>
      <c r="J253" s="636"/>
      <c r="K253" s="636"/>
      <c r="L253" s="636"/>
      <c r="M253" s="636"/>
      <c r="N253" s="636"/>
      <c r="O253" s="1056"/>
      <c r="P253" s="636"/>
      <c r="Q253" s="636"/>
    </row>
    <row r="254" ht="15.5" spans="1:17">
      <c r="A254" s="636"/>
      <c r="B254" s="636"/>
      <c r="C254" s="636"/>
      <c r="D254" s="1052"/>
      <c r="E254" s="636"/>
      <c r="F254" s="636"/>
      <c r="G254" s="636"/>
      <c r="H254" s="636"/>
      <c r="I254" s="636"/>
      <c r="J254" s="636"/>
      <c r="K254" s="636"/>
      <c r="L254" s="636"/>
      <c r="M254" s="636"/>
      <c r="N254" s="636"/>
      <c r="O254" s="636"/>
      <c r="P254" s="636"/>
      <c r="Q254" s="636"/>
    </row>
    <row r="255" ht="15.5" spans="1:17">
      <c r="A255" s="636"/>
      <c r="B255" s="636"/>
      <c r="C255" s="636"/>
      <c r="D255" s="1052"/>
      <c r="E255" s="636"/>
      <c r="F255" s="636"/>
      <c r="G255" s="636"/>
      <c r="H255" s="636"/>
      <c r="I255" s="636"/>
      <c r="J255" s="636"/>
      <c r="K255" s="636"/>
      <c r="L255" s="636"/>
      <c r="M255" s="636"/>
      <c r="N255" s="636"/>
      <c r="O255" s="636"/>
      <c r="P255" s="636"/>
      <c r="Q255" s="636"/>
    </row>
    <row r="256" ht="15.5" spans="1:17">
      <c r="A256" s="636"/>
      <c r="B256" s="636"/>
      <c r="C256" s="636"/>
      <c r="D256" s="1052"/>
      <c r="E256" s="636"/>
      <c r="F256" s="636"/>
      <c r="G256" s="636"/>
      <c r="H256" s="636"/>
      <c r="I256" s="636"/>
      <c r="J256" s="636"/>
      <c r="K256" s="636"/>
      <c r="L256" s="636"/>
      <c r="M256" s="636"/>
      <c r="N256" s="636"/>
      <c r="O256" s="636"/>
      <c r="P256" s="636"/>
      <c r="Q256" s="636"/>
    </row>
    <row r="257" ht="15.5" spans="1:17">
      <c r="A257" s="636"/>
      <c r="B257" s="636"/>
      <c r="C257" s="636"/>
      <c r="D257" s="1052"/>
      <c r="E257" s="636"/>
      <c r="F257" s="636"/>
      <c r="G257" s="636"/>
      <c r="H257" s="636"/>
      <c r="I257" s="636"/>
      <c r="J257" s="636"/>
      <c r="K257" s="636"/>
      <c r="L257" s="636"/>
      <c r="M257" s="636"/>
      <c r="N257" s="636"/>
      <c r="O257" s="636"/>
      <c r="P257" s="636"/>
      <c r="Q257" s="636"/>
    </row>
    <row r="258" ht="15.5" spans="1:17">
      <c r="A258" s="636"/>
      <c r="B258" s="636"/>
      <c r="C258" s="636"/>
      <c r="D258" s="1052"/>
      <c r="E258" s="636"/>
      <c r="F258" s="636"/>
      <c r="G258" s="636"/>
      <c r="H258" s="636"/>
      <c r="I258" s="636"/>
      <c r="J258" s="636"/>
      <c r="K258" s="636"/>
      <c r="L258" s="636"/>
      <c r="M258" s="636"/>
      <c r="N258" s="636"/>
      <c r="O258" s="636"/>
      <c r="P258" s="636"/>
      <c r="Q258" s="636"/>
    </row>
    <row r="259" ht="15.5" spans="1:17">
      <c r="A259" s="636"/>
      <c r="B259" s="636"/>
      <c r="C259" s="636"/>
      <c r="D259" s="1052"/>
      <c r="E259" s="636"/>
      <c r="F259" s="636"/>
      <c r="G259" s="636"/>
      <c r="H259" s="636"/>
      <c r="I259" s="636"/>
      <c r="J259" s="636"/>
      <c r="K259" s="636"/>
      <c r="L259" s="636"/>
      <c r="M259" s="636"/>
      <c r="N259" s="636"/>
      <c r="O259" s="636"/>
      <c r="P259" s="636"/>
      <c r="Q259" s="636"/>
    </row>
  </sheetData>
  <mergeCells count="3">
    <mergeCell ref="A1:N1"/>
    <mergeCell ref="A2:N2"/>
    <mergeCell ref="A3:N3"/>
  </mergeCells>
  <pageMargins left="0.7" right="0.7" top="0.75" bottom="0.75" header="0.3" footer="0.3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3"/>
  <sheetViews>
    <sheetView zoomScale="90" zoomScaleNormal="90" zoomScaleSheetLayoutView="50" workbookViewId="0">
      <pane xSplit="3" ySplit="7" topLeftCell="F248" activePane="bottomRight" state="frozen"/>
      <selection/>
      <selection pane="topRight"/>
      <selection pane="bottomLeft"/>
      <selection pane="bottomRight" activeCell="K251" sqref="K25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7.8636363636364" style="1" customWidth="1"/>
    <col min="8" max="8" width="18.2818181818182" style="1" customWidth="1"/>
    <col min="9" max="12" width="16.7727272727273" style="1" customWidth="1"/>
    <col min="13" max="13" width="19.2818181818182" style="1" customWidth="1"/>
    <col min="14" max="15" width="17.8636363636364" style="1" customWidth="1"/>
    <col min="16" max="16" width="13.2727272727273" style="1" customWidth="1"/>
    <col min="17" max="18" width="17.8636363636364" style="1" customWidth="1"/>
    <col min="19" max="16384" width="9.13636363636364" style="1"/>
  </cols>
  <sheetData>
    <row r="1" ht="27" customHeight="1" spans="1:18">
      <c r="A1" s="76" t="s">
        <v>0</v>
      </c>
      <c r="B1" s="76"/>
      <c r="C1" s="76"/>
      <c r="D1" s="76"/>
      <c r="E1" s="76"/>
      <c r="F1" s="76"/>
      <c r="G1" s="76"/>
      <c r="H1" s="217"/>
      <c r="M1" s="76"/>
      <c r="N1" s="76"/>
      <c r="O1" s="76"/>
      <c r="Q1" s="76"/>
      <c r="R1" s="76"/>
    </row>
    <row r="2" ht="33.75" customHeight="1" spans="1:18">
      <c r="A2" s="76" t="s">
        <v>1</v>
      </c>
      <c r="B2" s="77"/>
      <c r="C2" s="76"/>
      <c r="D2" s="76"/>
      <c r="E2" s="216"/>
      <c r="F2" s="216"/>
      <c r="G2" s="216"/>
      <c r="H2" s="299"/>
      <c r="I2" s="78"/>
      <c r="J2" s="78"/>
      <c r="K2" s="78"/>
      <c r="L2" s="78"/>
      <c r="M2" s="216"/>
      <c r="N2" s="216"/>
      <c r="O2" s="216"/>
      <c r="P2" s="78"/>
      <c r="Q2" s="216"/>
      <c r="R2" s="216"/>
    </row>
    <row r="3" ht="9.75" customHeight="1" spans="5:18">
      <c r="E3" s="217" t="e">
        <f>'[1]FEB 08'!E11/'[1]FEB 08'!M11</f>
        <v>#REF!</v>
      </c>
      <c r="F3" s="217"/>
      <c r="G3" s="217"/>
      <c r="H3" s="217"/>
      <c r="M3" s="217"/>
      <c r="N3" s="217"/>
      <c r="O3" s="217"/>
      <c r="Q3" s="217"/>
      <c r="R3" s="217"/>
    </row>
    <row r="4" ht="49.5" customHeight="1" spans="1:18">
      <c r="A4" s="4"/>
      <c r="B4" s="5" t="s">
        <v>2</v>
      </c>
      <c r="C4" s="6" t="s">
        <v>3</v>
      </c>
      <c r="D4" s="7" t="s">
        <v>487</v>
      </c>
      <c r="E4" s="218" t="s">
        <v>488</v>
      </c>
      <c r="F4" s="7" t="s">
        <v>489</v>
      </c>
      <c r="G4" s="218" t="s">
        <v>490</v>
      </c>
      <c r="H4" s="218" t="s">
        <v>491</v>
      </c>
      <c r="I4" s="218" t="s">
        <v>492</v>
      </c>
      <c r="J4" s="218" t="s">
        <v>493</v>
      </c>
      <c r="K4" s="218" t="s">
        <v>494</v>
      </c>
      <c r="L4" s="218" t="s">
        <v>495</v>
      </c>
      <c r="M4" s="7" t="s">
        <v>489</v>
      </c>
      <c r="N4" s="218" t="s">
        <v>496</v>
      </c>
      <c r="O4" s="218" t="s">
        <v>497</v>
      </c>
      <c r="P4" s="218" t="s">
        <v>498</v>
      </c>
      <c r="Q4" s="218" t="s">
        <v>499</v>
      </c>
      <c r="R4" s="218" t="s">
        <v>500</v>
      </c>
    </row>
    <row r="5" ht="17.25" customHeight="1" spans="3:18">
      <c r="C5" s="8"/>
      <c r="D5" s="8"/>
      <c r="E5" s="82" t="s">
        <v>20</v>
      </c>
      <c r="F5" s="82"/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/>
      <c r="N5" s="82"/>
      <c r="O5" s="82"/>
      <c r="P5" s="82" t="s">
        <v>20</v>
      </c>
      <c r="Q5" s="82"/>
      <c r="R5" s="82"/>
    </row>
    <row r="6" customHeight="1" spans="1:18">
      <c r="A6" s="9" t="s">
        <v>21</v>
      </c>
      <c r="B6" s="8" t="s">
        <v>22</v>
      </c>
      <c r="C6" s="8"/>
      <c r="D6" s="8"/>
      <c r="E6" s="82"/>
      <c r="F6" s="82"/>
      <c r="G6" s="21"/>
      <c r="H6" s="82"/>
      <c r="I6" s="82"/>
      <c r="J6" s="82"/>
      <c r="K6" s="82"/>
      <c r="L6" s="82"/>
      <c r="M6" s="82"/>
      <c r="N6" s="21"/>
      <c r="O6" s="21"/>
      <c r="P6" s="82"/>
      <c r="Q6" s="21"/>
      <c r="R6" s="21"/>
    </row>
    <row r="7" customHeight="1" spans="1:18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  <c r="F7" s="12" t="s">
        <v>25</v>
      </c>
      <c r="G7" s="85">
        <v>1971137.08333333</v>
      </c>
      <c r="H7" s="220">
        <f>G7-E7</f>
        <v>0</v>
      </c>
      <c r="I7" s="85">
        <v>0</v>
      </c>
      <c r="J7" s="85"/>
      <c r="K7" s="85">
        <f>J7-I7</f>
        <v>0</v>
      </c>
      <c r="L7" s="85">
        <f>J7*12</f>
        <v>0</v>
      </c>
      <c r="M7" s="12" t="s">
        <v>25</v>
      </c>
      <c r="N7" s="909"/>
      <c r="O7" s="909">
        <f>N7*0.025</f>
        <v>0</v>
      </c>
      <c r="P7" s="85"/>
      <c r="Q7" s="909"/>
      <c r="R7" s="909"/>
    </row>
    <row r="8" customHeight="1" spans="1:18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  <c r="F8" s="10" t="s">
        <v>28</v>
      </c>
      <c r="G8" s="85">
        <v>905306.75</v>
      </c>
      <c r="H8" s="220">
        <f t="shared" ref="H8:H47" si="0">G8-E8</f>
        <v>0</v>
      </c>
      <c r="I8" s="85">
        <v>72424.54</v>
      </c>
      <c r="J8" s="85">
        <f t="shared" ref="J8:J47" si="1">G8*0.08</f>
        <v>72424.54</v>
      </c>
      <c r="K8" s="85">
        <f t="shared" ref="K8:K47" si="2">J8-I8</f>
        <v>0</v>
      </c>
      <c r="L8" s="85">
        <f t="shared" ref="L8:L71" si="3">J8*12</f>
        <v>869094.48</v>
      </c>
      <c r="M8" s="10" t="s">
        <v>28</v>
      </c>
      <c r="N8" s="909">
        <v>554669.5</v>
      </c>
      <c r="O8" s="909"/>
      <c r="P8" s="85"/>
      <c r="Q8" s="909">
        <f>O8-P8</f>
        <v>0</v>
      </c>
      <c r="R8" s="909">
        <f>O8*12</f>
        <v>0</v>
      </c>
    </row>
    <row r="9" customHeight="1" spans="1:18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  <c r="F9" s="10" t="s">
        <v>28</v>
      </c>
      <c r="G9" s="85">
        <v>905306.75</v>
      </c>
      <c r="H9" s="220">
        <f t="shared" si="0"/>
        <v>0</v>
      </c>
      <c r="I9" s="85"/>
      <c r="J9" s="85"/>
      <c r="K9" s="85">
        <f t="shared" si="2"/>
        <v>0</v>
      </c>
      <c r="L9" s="85">
        <f t="shared" si="3"/>
        <v>0</v>
      </c>
      <c r="M9" s="10" t="s">
        <v>28</v>
      </c>
      <c r="N9" s="909"/>
      <c r="O9" s="909">
        <f>N9*0.025</f>
        <v>0</v>
      </c>
      <c r="P9" s="85"/>
      <c r="Q9" s="909">
        <f t="shared" ref="Q9:Q72" si="4">O9-P9</f>
        <v>0</v>
      </c>
      <c r="R9" s="909">
        <f t="shared" ref="R9:R72" si="5">O9*12</f>
        <v>0</v>
      </c>
    </row>
    <row r="10" customHeight="1" spans="1:18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  <c r="F10" s="10" t="s">
        <v>28</v>
      </c>
      <c r="G10" s="85">
        <v>905306.75</v>
      </c>
      <c r="H10" s="220">
        <f t="shared" si="0"/>
        <v>0</v>
      </c>
      <c r="I10" s="85">
        <v>72424.54</v>
      </c>
      <c r="J10" s="85">
        <f t="shared" si="1"/>
        <v>72424.54</v>
      </c>
      <c r="K10" s="85">
        <f t="shared" si="2"/>
        <v>0</v>
      </c>
      <c r="L10" s="85">
        <f t="shared" si="3"/>
        <v>869094.48</v>
      </c>
      <c r="M10" s="10" t="s">
        <v>28</v>
      </c>
      <c r="N10" s="909">
        <v>554669.5</v>
      </c>
      <c r="O10" s="909">
        <f>N10*0.025</f>
        <v>13866.7375</v>
      </c>
      <c r="P10" s="85">
        <v>13866.7375</v>
      </c>
      <c r="Q10" s="909">
        <f t="shared" si="4"/>
        <v>0</v>
      </c>
      <c r="R10" s="909">
        <f t="shared" si="5"/>
        <v>166400.85</v>
      </c>
    </row>
    <row r="11" customHeight="1" spans="1:18">
      <c r="A11" s="10">
        <v>5</v>
      </c>
      <c r="B11" s="11" t="s">
        <v>33</v>
      </c>
      <c r="C11" s="12" t="s">
        <v>34</v>
      </c>
      <c r="D11" s="15" t="s">
        <v>207</v>
      </c>
      <c r="E11" s="85">
        <v>879008.916666667</v>
      </c>
      <c r="F11" s="15" t="s">
        <v>35</v>
      </c>
      <c r="G11" s="85">
        <v>905306.75</v>
      </c>
      <c r="H11" s="220">
        <f t="shared" si="0"/>
        <v>26297.833333333</v>
      </c>
      <c r="I11" s="85">
        <v>68216.8866666667</v>
      </c>
      <c r="J11" s="85">
        <f t="shared" si="1"/>
        <v>72424.54</v>
      </c>
      <c r="K11" s="85">
        <f t="shared" si="2"/>
        <v>4207.65333333331</v>
      </c>
      <c r="L11" s="85">
        <f t="shared" si="3"/>
        <v>869094.48</v>
      </c>
      <c r="M11" s="15" t="s">
        <v>35</v>
      </c>
      <c r="N11" s="909">
        <v>554669.5</v>
      </c>
      <c r="O11" s="909">
        <f>N11*0.025</f>
        <v>13866.7375</v>
      </c>
      <c r="P11" s="85">
        <v>13084.6625</v>
      </c>
      <c r="Q11" s="909">
        <f t="shared" si="4"/>
        <v>782.075000000001</v>
      </c>
      <c r="R11" s="909">
        <f t="shared" si="5"/>
        <v>166400.85</v>
      </c>
    </row>
    <row r="12" customHeight="1" spans="1:18">
      <c r="A12" s="10">
        <v>6</v>
      </c>
      <c r="B12" s="11" t="s">
        <v>36</v>
      </c>
      <c r="C12" s="4" t="s">
        <v>37</v>
      </c>
      <c r="D12" s="10" t="s">
        <v>49</v>
      </c>
      <c r="E12" s="85">
        <v>722595.5</v>
      </c>
      <c r="F12" s="10" t="s">
        <v>38</v>
      </c>
      <c r="G12" s="85">
        <v>744477</v>
      </c>
      <c r="H12" s="220">
        <f t="shared" si="0"/>
        <v>21881.5</v>
      </c>
      <c r="I12" s="85">
        <v>57807.64</v>
      </c>
      <c r="J12" s="85">
        <f t="shared" si="1"/>
        <v>59558.16</v>
      </c>
      <c r="K12" s="85">
        <f t="shared" si="2"/>
        <v>1750.52</v>
      </c>
      <c r="L12" s="85">
        <f t="shared" si="3"/>
        <v>714697.92</v>
      </c>
      <c r="M12" s="10" t="s">
        <v>38</v>
      </c>
      <c r="N12" s="909">
        <v>459010.5</v>
      </c>
      <c r="O12" s="909">
        <f>N12*0.025</f>
        <v>11475.2625</v>
      </c>
      <c r="P12" s="85">
        <v>11149.8958333333</v>
      </c>
      <c r="Q12" s="909">
        <f t="shared" si="4"/>
        <v>325.366666666701</v>
      </c>
      <c r="R12" s="909">
        <f t="shared" si="5"/>
        <v>137703.15</v>
      </c>
    </row>
    <row r="13" customHeight="1" spans="1:18">
      <c r="A13" s="10">
        <v>7</v>
      </c>
      <c r="B13" s="11" t="s">
        <v>39</v>
      </c>
      <c r="C13" s="4" t="s">
        <v>40</v>
      </c>
      <c r="D13" s="15" t="s">
        <v>41</v>
      </c>
      <c r="E13" s="85">
        <v>700713.916666666</v>
      </c>
      <c r="F13" s="15" t="s">
        <v>41</v>
      </c>
      <c r="G13" s="85">
        <v>700713.916666666</v>
      </c>
      <c r="H13" s="220">
        <f t="shared" si="0"/>
        <v>0</v>
      </c>
      <c r="I13" s="85">
        <v>56057.1133333333</v>
      </c>
      <c r="J13" s="85">
        <f t="shared" si="1"/>
        <v>56057.1133333333</v>
      </c>
      <c r="K13" s="85">
        <f t="shared" si="2"/>
        <v>0</v>
      </c>
      <c r="L13" s="85">
        <f t="shared" si="3"/>
        <v>672685.359999999</v>
      </c>
      <c r="M13" s="15" t="s">
        <v>41</v>
      </c>
      <c r="N13" s="909">
        <v>432981.083333333</v>
      </c>
      <c r="O13" s="909"/>
      <c r="P13" s="85"/>
      <c r="Q13" s="909">
        <f t="shared" si="4"/>
        <v>0</v>
      </c>
      <c r="R13" s="909">
        <f t="shared" si="5"/>
        <v>0</v>
      </c>
    </row>
    <row r="14" customHeight="1" spans="1:18">
      <c r="A14" s="10">
        <v>8</v>
      </c>
      <c r="B14" s="14" t="s">
        <v>42</v>
      </c>
      <c r="C14" s="17" t="s">
        <v>43</v>
      </c>
      <c r="D14" s="15" t="s">
        <v>49</v>
      </c>
      <c r="E14" s="85">
        <v>722595.5</v>
      </c>
      <c r="F14" s="15" t="s">
        <v>38</v>
      </c>
      <c r="G14" s="85">
        <v>744477</v>
      </c>
      <c r="H14" s="220">
        <f t="shared" si="0"/>
        <v>21881.5</v>
      </c>
      <c r="I14" s="85">
        <v>57807.64</v>
      </c>
      <c r="J14" s="85">
        <f t="shared" si="1"/>
        <v>59558.16</v>
      </c>
      <c r="K14" s="85">
        <f t="shared" si="2"/>
        <v>1750.52</v>
      </c>
      <c r="L14" s="85">
        <f t="shared" si="3"/>
        <v>714697.92</v>
      </c>
      <c r="M14" s="15" t="s">
        <v>38</v>
      </c>
      <c r="N14" s="909">
        <v>459010.5</v>
      </c>
      <c r="O14" s="909"/>
      <c r="P14" s="85"/>
      <c r="Q14" s="909">
        <f t="shared" si="4"/>
        <v>0</v>
      </c>
      <c r="R14" s="909">
        <f t="shared" si="5"/>
        <v>0</v>
      </c>
    </row>
    <row r="15" customHeight="1" spans="1:18">
      <c r="A15" s="10">
        <v>9</v>
      </c>
      <c r="B15" s="11" t="s">
        <v>44</v>
      </c>
      <c r="C15" s="4" t="s">
        <v>45</v>
      </c>
      <c r="D15" s="10" t="s">
        <v>212</v>
      </c>
      <c r="E15" s="85">
        <v>558165.25</v>
      </c>
      <c r="F15" s="10" t="s">
        <v>46</v>
      </c>
      <c r="G15" s="85">
        <v>573911.083333334</v>
      </c>
      <c r="H15" s="220">
        <f t="shared" si="0"/>
        <v>15745.833333334</v>
      </c>
      <c r="I15" s="85">
        <v>44653.22</v>
      </c>
      <c r="J15" s="85">
        <f t="shared" si="1"/>
        <v>45912.8866666667</v>
      </c>
      <c r="K15" s="85">
        <f t="shared" si="2"/>
        <v>1259.66666666672</v>
      </c>
      <c r="L15" s="85">
        <f t="shared" si="3"/>
        <v>550954.640000001</v>
      </c>
      <c r="M15" s="10" t="s">
        <v>46</v>
      </c>
      <c r="N15" s="909">
        <v>357066.666666667</v>
      </c>
      <c r="O15" s="909">
        <f>N15*0.025</f>
        <v>8926.66666666668</v>
      </c>
      <c r="P15" s="85">
        <v>8692.89791666667</v>
      </c>
      <c r="Q15" s="909">
        <f t="shared" si="4"/>
        <v>233.768750000005</v>
      </c>
      <c r="R15" s="909">
        <f t="shared" si="5"/>
        <v>107120</v>
      </c>
    </row>
    <row r="16" customHeight="1" spans="1:18">
      <c r="A16" s="10">
        <v>10</v>
      </c>
      <c r="B16" s="11" t="s">
        <v>47</v>
      </c>
      <c r="C16" s="4" t="s">
        <v>48</v>
      </c>
      <c r="D16" s="10" t="s">
        <v>41</v>
      </c>
      <c r="E16" s="85">
        <v>700713.916666666</v>
      </c>
      <c r="F16" s="10" t="s">
        <v>49</v>
      </c>
      <c r="G16" s="85">
        <v>722595.5</v>
      </c>
      <c r="H16" s="220">
        <f t="shared" si="0"/>
        <v>21881.583333334</v>
      </c>
      <c r="I16" s="85">
        <v>56057.1133333333</v>
      </c>
      <c r="J16" s="85">
        <f t="shared" si="1"/>
        <v>57807.64</v>
      </c>
      <c r="K16" s="85">
        <f t="shared" si="2"/>
        <v>1750.5266666667</v>
      </c>
      <c r="L16" s="85">
        <f t="shared" si="3"/>
        <v>693691.68</v>
      </c>
      <c r="M16" s="10" t="s">
        <v>49</v>
      </c>
      <c r="N16" s="909">
        <v>445995.833333333</v>
      </c>
      <c r="O16" s="909"/>
      <c r="P16" s="85"/>
      <c r="Q16" s="909">
        <f t="shared" si="4"/>
        <v>0</v>
      </c>
      <c r="R16" s="909">
        <f t="shared" si="5"/>
        <v>0</v>
      </c>
    </row>
    <row r="17" customHeight="1" spans="1:18">
      <c r="A17" s="10">
        <v>11</v>
      </c>
      <c r="B17" s="11" t="s">
        <v>50</v>
      </c>
      <c r="C17" s="12" t="s">
        <v>51</v>
      </c>
      <c r="D17" s="10" t="s">
        <v>501</v>
      </c>
      <c r="E17" s="85">
        <v>542419.5</v>
      </c>
      <c r="F17" s="10" t="s">
        <v>52</v>
      </c>
      <c r="G17" s="85">
        <f>'[21] FGN 2024 MGT Monthly'!$I$42+'[21]Peculiar Allowance'!$I$42</f>
        <v>542419.5</v>
      </c>
      <c r="H17" s="220">
        <f t="shared" si="0"/>
        <v>0</v>
      </c>
      <c r="I17" s="85">
        <v>42133.8866666667</v>
      </c>
      <c r="J17" s="85">
        <f t="shared" si="1"/>
        <v>43393.56</v>
      </c>
      <c r="K17" s="85">
        <f t="shared" si="2"/>
        <v>1259.6733333333</v>
      </c>
      <c r="L17" s="85">
        <f t="shared" si="3"/>
        <v>520722.72</v>
      </c>
      <c r="M17" s="10" t="s">
        <v>52</v>
      </c>
      <c r="N17" s="909">
        <v>338365.25</v>
      </c>
      <c r="O17" s="909"/>
      <c r="P17" s="85"/>
      <c r="Q17" s="909">
        <f t="shared" si="4"/>
        <v>0</v>
      </c>
      <c r="R17" s="909">
        <f t="shared" si="5"/>
        <v>0</v>
      </c>
    </row>
    <row r="18" customHeight="1" spans="1:18">
      <c r="A18" s="10">
        <v>12</v>
      </c>
      <c r="B18" s="18" t="s">
        <v>53</v>
      </c>
      <c r="C18" s="4" t="s">
        <v>54</v>
      </c>
      <c r="D18" s="15" t="s">
        <v>502</v>
      </c>
      <c r="E18" s="85">
        <v>526725.083333334</v>
      </c>
      <c r="F18" s="15" t="s">
        <v>55</v>
      </c>
      <c r="G18" s="85">
        <f>'[21]Peculiar Allowance'!$L$41+'[21] FGN 2024 MGT Monthly'!$L$41</f>
        <v>541351.333333333</v>
      </c>
      <c r="H18" s="220">
        <f t="shared" si="0"/>
        <v>14626.2499999993</v>
      </c>
      <c r="I18" s="85">
        <v>42138.0066666667</v>
      </c>
      <c r="J18" s="85">
        <f t="shared" si="1"/>
        <v>43308.1066666667</v>
      </c>
      <c r="K18" s="85">
        <f t="shared" si="2"/>
        <v>1170.09999999996</v>
      </c>
      <c r="L18" s="85">
        <f t="shared" si="3"/>
        <v>519697.28</v>
      </c>
      <c r="M18" s="15" t="s">
        <v>55</v>
      </c>
      <c r="N18" s="909">
        <v>337730.833333333</v>
      </c>
      <c r="O18" s="909">
        <f>N18*0.025</f>
        <v>8443.27083333333</v>
      </c>
      <c r="P18" s="85">
        <v>8226.12291666667</v>
      </c>
      <c r="Q18" s="909">
        <f t="shared" si="4"/>
        <v>217.147916666656</v>
      </c>
      <c r="R18" s="909">
        <f t="shared" si="5"/>
        <v>101319.25</v>
      </c>
    </row>
    <row r="19" customHeight="1" spans="1:18">
      <c r="A19" s="10">
        <v>13</v>
      </c>
      <c r="B19" s="18" t="s">
        <v>56</v>
      </c>
      <c r="C19" s="4" t="s">
        <v>57</v>
      </c>
      <c r="D19" s="15" t="s">
        <v>503</v>
      </c>
      <c r="E19" s="676">
        <v>497472.75</v>
      </c>
      <c r="F19" s="15" t="s">
        <v>58</v>
      </c>
      <c r="G19" s="85">
        <f>'[21] FGN 2024 MGT Monthly'!$J$41+'[21]Peculiar Allowance'!$J$41</f>
        <v>512098.916666667</v>
      </c>
      <c r="H19" s="220">
        <f t="shared" si="0"/>
        <v>14626.1666666666</v>
      </c>
      <c r="I19" s="85">
        <v>39797.82</v>
      </c>
      <c r="J19" s="85">
        <f t="shared" si="1"/>
        <v>40967.9133333333</v>
      </c>
      <c r="K19" s="85">
        <f t="shared" si="2"/>
        <v>1170.09333333333</v>
      </c>
      <c r="L19" s="85">
        <f t="shared" si="3"/>
        <v>491614.96</v>
      </c>
      <c r="M19" s="15" t="s">
        <v>58</v>
      </c>
      <c r="N19" s="85">
        <f>'[21] FGN 2024 MGT Monthly'!$J$41</f>
        <v>320359.083333333</v>
      </c>
      <c r="O19" s="909">
        <f>N19*0.025</f>
        <v>8008.97708333333</v>
      </c>
      <c r="P19" s="833">
        <v>7791.83125</v>
      </c>
      <c r="Q19" s="909">
        <f t="shared" si="4"/>
        <v>217.145833333333</v>
      </c>
      <c r="R19" s="909">
        <f t="shared" si="5"/>
        <v>96107.725</v>
      </c>
    </row>
    <row r="20" customHeight="1" spans="1:18">
      <c r="A20" s="10">
        <v>14</v>
      </c>
      <c r="B20" s="18" t="s">
        <v>59</v>
      </c>
      <c r="C20" s="4" t="s">
        <v>60</v>
      </c>
      <c r="D20" s="15" t="s">
        <v>503</v>
      </c>
      <c r="E20" s="676">
        <v>497472.75</v>
      </c>
      <c r="F20" s="15" t="s">
        <v>58</v>
      </c>
      <c r="G20" s="85">
        <f>'[21] FGN 2024 MGT Monthly'!$J$41+'[21]Peculiar Allowance'!$J$41</f>
        <v>512098.916666667</v>
      </c>
      <c r="H20" s="220">
        <f t="shared" si="0"/>
        <v>14626.1666666666</v>
      </c>
      <c r="I20" s="85">
        <v>39797.82</v>
      </c>
      <c r="J20" s="85">
        <f t="shared" si="1"/>
        <v>40967.9133333333</v>
      </c>
      <c r="K20" s="85">
        <f t="shared" si="2"/>
        <v>1170.09333333333</v>
      </c>
      <c r="L20" s="85">
        <f t="shared" si="3"/>
        <v>491614.96</v>
      </c>
      <c r="M20" s="15" t="s">
        <v>58</v>
      </c>
      <c r="N20" s="85">
        <f>'[21] FGN 2024 MGT Monthly'!$J$41</f>
        <v>320359.083333333</v>
      </c>
      <c r="O20" s="909"/>
      <c r="P20" s="4"/>
      <c r="Q20" s="909">
        <f t="shared" si="4"/>
        <v>0</v>
      </c>
      <c r="R20" s="909">
        <f t="shared" si="5"/>
        <v>0</v>
      </c>
    </row>
    <row r="21" customHeight="1" spans="1:18">
      <c r="A21" s="10">
        <v>15</v>
      </c>
      <c r="B21" s="11" t="s">
        <v>61</v>
      </c>
      <c r="C21" s="12" t="s">
        <v>62</v>
      </c>
      <c r="D21" s="15" t="s">
        <v>66</v>
      </c>
      <c r="E21" s="85">
        <v>482846.583333334</v>
      </c>
      <c r="F21" s="15" t="s">
        <v>63</v>
      </c>
      <c r="G21" s="676">
        <v>497472.75</v>
      </c>
      <c r="H21" s="220">
        <f t="shared" si="0"/>
        <v>14626.166666666</v>
      </c>
      <c r="I21" s="85">
        <v>42138.0066666667</v>
      </c>
      <c r="J21" s="85">
        <f t="shared" si="1"/>
        <v>39797.82</v>
      </c>
      <c r="K21" s="85">
        <f t="shared" si="2"/>
        <v>-2340.1866666667</v>
      </c>
      <c r="L21" s="85">
        <f t="shared" si="3"/>
        <v>477573.84</v>
      </c>
      <c r="M21" s="15" t="s">
        <v>63</v>
      </c>
      <c r="N21" s="909">
        <v>311673.25</v>
      </c>
      <c r="O21" s="909">
        <f>N21*0.025</f>
        <v>7791.83125</v>
      </c>
      <c r="P21" s="85">
        <v>7777.36041666667</v>
      </c>
      <c r="Q21" s="909">
        <f t="shared" si="4"/>
        <v>14.4708333333301</v>
      </c>
      <c r="R21" s="909">
        <f t="shared" si="5"/>
        <v>93501.975</v>
      </c>
    </row>
    <row r="22" ht="18.75" customHeight="1" spans="1:18">
      <c r="A22" s="10">
        <v>16</v>
      </c>
      <c r="B22" s="11" t="s">
        <v>64</v>
      </c>
      <c r="C22" s="4" t="s">
        <v>65</v>
      </c>
      <c r="D22" s="15" t="s">
        <v>66</v>
      </c>
      <c r="E22" s="85">
        <v>482846.583333333</v>
      </c>
      <c r="F22" s="15" t="s">
        <v>66</v>
      </c>
      <c r="G22" s="85">
        <v>482846.583333333</v>
      </c>
      <c r="H22" s="220">
        <f t="shared" si="0"/>
        <v>0</v>
      </c>
      <c r="I22" s="85">
        <v>42138.0066666667</v>
      </c>
      <c r="J22" s="85">
        <f t="shared" si="1"/>
        <v>38627.7266666666</v>
      </c>
      <c r="K22" s="85">
        <f t="shared" si="2"/>
        <v>-3510.28000000006</v>
      </c>
      <c r="L22" s="85">
        <f t="shared" si="3"/>
        <v>463532.72</v>
      </c>
      <c r="M22" s="15" t="s">
        <v>66</v>
      </c>
      <c r="N22" s="909">
        <v>302987.416666667</v>
      </c>
      <c r="O22" s="909">
        <f>N22*0.025</f>
        <v>7574.68541666667</v>
      </c>
      <c r="P22" s="85">
        <v>7571.96666666667</v>
      </c>
      <c r="Q22" s="909">
        <f t="shared" si="4"/>
        <v>2.71875000000455</v>
      </c>
      <c r="R22" s="909">
        <f t="shared" si="5"/>
        <v>90896.2250000001</v>
      </c>
    </row>
    <row r="23" customHeight="1" spans="1:18">
      <c r="A23" s="10">
        <v>17</v>
      </c>
      <c r="B23" s="14" t="s">
        <v>67</v>
      </c>
      <c r="C23" s="17" t="s">
        <v>68</v>
      </c>
      <c r="D23" s="10" t="s">
        <v>131</v>
      </c>
      <c r="E23" s="85">
        <v>454993.583333333</v>
      </c>
      <c r="F23" s="10" t="s">
        <v>69</v>
      </c>
      <c r="G23" s="85">
        <v>468828.166666667</v>
      </c>
      <c r="H23" s="220">
        <f t="shared" si="0"/>
        <v>13834.583333334</v>
      </c>
      <c r="I23" s="85">
        <v>36399.4866666666</v>
      </c>
      <c r="J23" s="85">
        <f t="shared" si="1"/>
        <v>37506.2533333334</v>
      </c>
      <c r="K23" s="85">
        <f t="shared" si="2"/>
        <v>1106.76666666676</v>
      </c>
      <c r="L23" s="85">
        <f t="shared" si="3"/>
        <v>450075.04</v>
      </c>
      <c r="M23" s="10" t="s">
        <v>69</v>
      </c>
      <c r="N23" s="909">
        <v>294662.916666667</v>
      </c>
      <c r="O23" s="909"/>
      <c r="P23" s="85"/>
      <c r="Q23" s="909">
        <f t="shared" si="4"/>
        <v>0</v>
      </c>
      <c r="R23" s="909">
        <f t="shared" si="5"/>
        <v>0</v>
      </c>
    </row>
    <row r="24" ht="21.6" customHeight="1" spans="1:18">
      <c r="A24" s="10">
        <v>18</v>
      </c>
      <c r="B24" s="11" t="s">
        <v>70</v>
      </c>
      <c r="C24" s="17" t="s">
        <v>71</v>
      </c>
      <c r="D24" s="15" t="s">
        <v>131</v>
      </c>
      <c r="E24" s="85">
        <v>454993.583333333</v>
      </c>
      <c r="F24" s="15" t="s">
        <v>69</v>
      </c>
      <c r="G24" s="85">
        <v>468828.166666667</v>
      </c>
      <c r="H24" s="220">
        <f t="shared" si="0"/>
        <v>13834.583333334</v>
      </c>
      <c r="I24" s="85">
        <v>36399.4866666666</v>
      </c>
      <c r="J24" s="85">
        <f t="shared" si="1"/>
        <v>37506.2533333334</v>
      </c>
      <c r="K24" s="85">
        <f t="shared" si="2"/>
        <v>1106.76666666676</v>
      </c>
      <c r="L24" s="85">
        <f t="shared" si="3"/>
        <v>450075.04</v>
      </c>
      <c r="M24" s="15" t="s">
        <v>69</v>
      </c>
      <c r="N24" s="909">
        <v>294662.916666667</v>
      </c>
      <c r="O24" s="909">
        <f>N24*0.025</f>
        <v>7366.57291666668</v>
      </c>
      <c r="P24" s="85">
        <v>7161.17708333333</v>
      </c>
      <c r="Q24" s="909">
        <f t="shared" si="4"/>
        <v>205.395833333345</v>
      </c>
      <c r="R24" s="909">
        <f t="shared" si="5"/>
        <v>88398.8750000001</v>
      </c>
    </row>
    <row r="25" customHeight="1" spans="1:18">
      <c r="A25" s="10">
        <v>19</v>
      </c>
      <c r="B25" s="14" t="s">
        <v>72</v>
      </c>
      <c r="C25" s="17" t="s">
        <v>73</v>
      </c>
      <c r="D25" s="10" t="s">
        <v>80</v>
      </c>
      <c r="E25" s="85">
        <v>381140.666666666</v>
      </c>
      <c r="F25" s="10" t="s">
        <v>74</v>
      </c>
      <c r="G25" s="85">
        <v>381140.666666666</v>
      </c>
      <c r="H25" s="220">
        <f t="shared" si="0"/>
        <v>0</v>
      </c>
      <c r="I25" s="85">
        <v>30491.2533333333</v>
      </c>
      <c r="J25" s="85">
        <f t="shared" si="1"/>
        <v>30491.2533333333</v>
      </c>
      <c r="K25" s="85">
        <f t="shared" si="2"/>
        <v>0</v>
      </c>
      <c r="L25" s="85">
        <f t="shared" si="3"/>
        <v>365895.039999999</v>
      </c>
      <c r="M25" s="10" t="s">
        <v>74</v>
      </c>
      <c r="N25" s="909">
        <v>240874.583333333</v>
      </c>
      <c r="O25" s="909"/>
      <c r="P25" s="85"/>
      <c r="Q25" s="909">
        <f t="shared" si="4"/>
        <v>0</v>
      </c>
      <c r="R25" s="909">
        <f t="shared" si="5"/>
        <v>0</v>
      </c>
    </row>
    <row r="26" customHeight="1" spans="1:18">
      <c r="A26" s="10">
        <v>20</v>
      </c>
      <c r="B26" s="14" t="s">
        <v>75</v>
      </c>
      <c r="C26" s="17" t="s">
        <v>76</v>
      </c>
      <c r="D26" s="10" t="s">
        <v>74</v>
      </c>
      <c r="E26" s="85">
        <v>381140.666666666</v>
      </c>
      <c r="F26" s="10" t="s">
        <v>77</v>
      </c>
      <c r="G26" s="85">
        <v>390135.833333334</v>
      </c>
      <c r="H26" s="220">
        <f t="shared" si="0"/>
        <v>8995.16666666802</v>
      </c>
      <c r="I26" s="85">
        <v>30491.2533333333</v>
      </c>
      <c r="J26" s="85">
        <f t="shared" si="1"/>
        <v>31210.8666666667</v>
      </c>
      <c r="K26" s="85">
        <f t="shared" si="2"/>
        <v>719.613333333422</v>
      </c>
      <c r="L26" s="85">
        <f t="shared" si="3"/>
        <v>374530.400000001</v>
      </c>
      <c r="M26" s="10" t="s">
        <v>77</v>
      </c>
      <c r="N26" s="909">
        <v>246171.166666667</v>
      </c>
      <c r="O26" s="909">
        <f>N26*0.025</f>
        <v>6154.27916666668</v>
      </c>
      <c r="P26" s="916">
        <v>6021.86458333332</v>
      </c>
      <c r="Q26" s="909">
        <f t="shared" si="4"/>
        <v>132.414583333355</v>
      </c>
      <c r="R26" s="909">
        <f t="shared" si="5"/>
        <v>73851.3500000001</v>
      </c>
    </row>
    <row r="27" ht="18.75" customHeight="1" spans="1:18">
      <c r="A27" s="10">
        <v>21</v>
      </c>
      <c r="B27" s="4" t="s">
        <v>485</v>
      </c>
      <c r="C27" s="4" t="s">
        <v>94</v>
      </c>
      <c r="D27" s="10" t="s">
        <v>85</v>
      </c>
      <c r="E27" s="85"/>
      <c r="F27" s="10"/>
      <c r="G27" s="85"/>
      <c r="H27" s="220">
        <f t="shared" si="0"/>
        <v>0</v>
      </c>
      <c r="I27" s="85"/>
      <c r="J27" s="85">
        <f t="shared" si="1"/>
        <v>0</v>
      </c>
      <c r="K27" s="85">
        <f t="shared" si="2"/>
        <v>0</v>
      </c>
      <c r="L27" s="85">
        <f t="shared" si="3"/>
        <v>0</v>
      </c>
      <c r="M27" s="10"/>
      <c r="N27" s="909"/>
      <c r="O27" s="909"/>
      <c r="P27" s="85"/>
      <c r="Q27" s="909">
        <f t="shared" si="4"/>
        <v>0</v>
      </c>
      <c r="R27" s="909">
        <f t="shared" si="5"/>
        <v>0</v>
      </c>
    </row>
    <row r="28" ht="18.75" customHeight="1" spans="1:18">
      <c r="A28" s="10">
        <v>22</v>
      </c>
      <c r="B28" s="18" t="s">
        <v>78</v>
      </c>
      <c r="C28" s="12" t="s">
        <v>79</v>
      </c>
      <c r="D28" s="15" t="s">
        <v>80</v>
      </c>
      <c r="E28" s="85">
        <v>372145.333333333</v>
      </c>
      <c r="F28" s="15" t="s">
        <v>80</v>
      </c>
      <c r="G28" s="85">
        <v>372145.333333333</v>
      </c>
      <c r="H28" s="220">
        <f t="shared" si="0"/>
        <v>0</v>
      </c>
      <c r="I28" s="85">
        <v>30491.2533333333</v>
      </c>
      <c r="J28" s="85">
        <f t="shared" si="1"/>
        <v>29771.6266666666</v>
      </c>
      <c r="K28" s="85">
        <f t="shared" si="2"/>
        <v>-719.62666666666</v>
      </c>
      <c r="L28" s="85">
        <f t="shared" si="3"/>
        <v>357259.52</v>
      </c>
      <c r="M28" s="15" t="s">
        <v>80</v>
      </c>
      <c r="N28" s="909">
        <f>'[21] FGN 2024 MGT Monthly'!$H$39</f>
        <v>235577.833333333</v>
      </c>
      <c r="O28" s="909">
        <f>N28*0.025</f>
        <v>5889.44583333333</v>
      </c>
      <c r="P28" s="85">
        <v>5690.39375</v>
      </c>
      <c r="Q28" s="909">
        <f t="shared" si="4"/>
        <v>199.052083333334</v>
      </c>
      <c r="R28" s="909">
        <f t="shared" si="5"/>
        <v>70673.35</v>
      </c>
    </row>
    <row r="29" customHeight="1" spans="1:18">
      <c r="A29" s="10">
        <v>23</v>
      </c>
      <c r="B29" s="11" t="s">
        <v>81</v>
      </c>
      <c r="C29" s="4" t="s">
        <v>82</v>
      </c>
      <c r="D29" s="15" t="s">
        <v>80</v>
      </c>
      <c r="E29" s="85">
        <v>372145.333333333</v>
      </c>
      <c r="F29" s="15" t="s">
        <v>74</v>
      </c>
      <c r="G29" s="85">
        <v>381140.666666666</v>
      </c>
      <c r="H29" s="220">
        <f t="shared" si="0"/>
        <v>8995.33333333296</v>
      </c>
      <c r="I29" s="85">
        <v>30491.2533333333</v>
      </c>
      <c r="J29" s="85">
        <f t="shared" si="1"/>
        <v>30491.2533333333</v>
      </c>
      <c r="K29" s="85">
        <f t="shared" si="2"/>
        <v>0</v>
      </c>
      <c r="L29" s="85">
        <f t="shared" si="3"/>
        <v>365895.039999999</v>
      </c>
      <c r="M29" s="15" t="s">
        <v>74</v>
      </c>
      <c r="N29" s="909">
        <v>240874.583333333</v>
      </c>
      <c r="O29" s="909">
        <f>N29*0.025</f>
        <v>6021.86458333332</v>
      </c>
      <c r="P29" s="85">
        <v>6260.74</v>
      </c>
      <c r="Q29" s="909">
        <f t="shared" si="4"/>
        <v>-238.875416666675</v>
      </c>
      <c r="R29" s="909">
        <f t="shared" si="5"/>
        <v>72262.3749999999</v>
      </c>
    </row>
    <row r="30" ht="18.75" customHeight="1" spans="1:18">
      <c r="A30" s="10">
        <v>24</v>
      </c>
      <c r="B30" s="18" t="s">
        <v>83</v>
      </c>
      <c r="C30" s="12" t="s">
        <v>84</v>
      </c>
      <c r="D30" s="15" t="s">
        <v>88</v>
      </c>
      <c r="E30" s="85">
        <v>347016.166666666</v>
      </c>
      <c r="F30" s="15" t="s">
        <v>85</v>
      </c>
      <c r="G30" s="85">
        <f>'[21]Peculiar Allowance'!$K$38+'[21] FGN 2024 MGT Monthly'!$K$38</f>
        <v>355320.666666667</v>
      </c>
      <c r="H30" s="220">
        <f t="shared" si="0"/>
        <v>8304.5000000007</v>
      </c>
      <c r="I30" s="85">
        <v>27761.2933333333</v>
      </c>
      <c r="J30" s="85">
        <f t="shared" si="1"/>
        <v>28425.6533333333</v>
      </c>
      <c r="K30" s="85">
        <f t="shared" si="2"/>
        <v>664.360000000037</v>
      </c>
      <c r="L30" s="85">
        <f t="shared" si="3"/>
        <v>341107.84</v>
      </c>
      <c r="M30" s="15" t="s">
        <v>85</v>
      </c>
      <c r="N30" s="909">
        <v>227615.75</v>
      </c>
      <c r="O30" s="909"/>
      <c r="P30" s="85"/>
      <c r="Q30" s="909">
        <f t="shared" si="4"/>
        <v>0</v>
      </c>
      <c r="R30" s="909">
        <f t="shared" si="5"/>
        <v>0</v>
      </c>
    </row>
    <row r="31" ht="18.75" customHeight="1" spans="1:18">
      <c r="A31" s="10">
        <v>25</v>
      </c>
      <c r="B31" s="18" t="s">
        <v>86</v>
      </c>
      <c r="C31" s="4" t="s">
        <v>87</v>
      </c>
      <c r="D31" s="10" t="s">
        <v>99</v>
      </c>
      <c r="E31" s="85">
        <v>338711.666666667</v>
      </c>
      <c r="F31" s="10" t="s">
        <v>88</v>
      </c>
      <c r="G31" s="85">
        <v>347016.166666666</v>
      </c>
      <c r="H31" s="220">
        <f t="shared" si="0"/>
        <v>8304.49999999901</v>
      </c>
      <c r="I31" s="85">
        <v>27096.9333333334</v>
      </c>
      <c r="J31" s="85">
        <f t="shared" si="1"/>
        <v>27761.2933333333</v>
      </c>
      <c r="K31" s="85">
        <f t="shared" si="2"/>
        <v>664.359999999881</v>
      </c>
      <c r="L31" s="85">
        <f t="shared" si="3"/>
        <v>333135.519999999</v>
      </c>
      <c r="M31" s="10" t="s">
        <v>88</v>
      </c>
      <c r="N31" s="909">
        <v>222674.583333333</v>
      </c>
      <c r="O31" s="909"/>
      <c r="P31" s="85"/>
      <c r="Q31" s="909">
        <f t="shared" si="4"/>
        <v>0</v>
      </c>
      <c r="R31" s="909">
        <f t="shared" si="5"/>
        <v>0</v>
      </c>
    </row>
    <row r="32" ht="18.75" customHeight="1" spans="1:18">
      <c r="A32" s="10">
        <v>26</v>
      </c>
      <c r="B32" s="18" t="s">
        <v>89</v>
      </c>
      <c r="C32" s="4" t="s">
        <v>90</v>
      </c>
      <c r="D32" s="15" t="s">
        <v>80</v>
      </c>
      <c r="E32" s="85">
        <v>372145.333333333</v>
      </c>
      <c r="F32" s="15" t="s">
        <v>80</v>
      </c>
      <c r="G32" s="85">
        <v>372145.333333333</v>
      </c>
      <c r="H32" s="220">
        <f t="shared" si="0"/>
        <v>0</v>
      </c>
      <c r="I32" s="85">
        <v>29771.6266666667</v>
      </c>
      <c r="J32" s="85">
        <f t="shared" si="1"/>
        <v>29771.6266666666</v>
      </c>
      <c r="K32" s="85">
        <f t="shared" si="2"/>
        <v>-5.82076609134674e-11</v>
      </c>
      <c r="L32" s="85">
        <f t="shared" si="3"/>
        <v>357259.52</v>
      </c>
      <c r="M32" s="15" t="s">
        <v>80</v>
      </c>
      <c r="N32" s="909">
        <f>'[21] FGN 2024 MGT Monthly'!$H$39</f>
        <v>235577.833333333</v>
      </c>
      <c r="O32" s="909">
        <f>N32*0.025</f>
        <v>5889.44583333333</v>
      </c>
      <c r="P32" s="916">
        <v>6260.744</v>
      </c>
      <c r="Q32" s="909">
        <f t="shared" si="4"/>
        <v>-371.298166666666</v>
      </c>
      <c r="R32" s="909">
        <f t="shared" si="5"/>
        <v>70673.35</v>
      </c>
    </row>
    <row r="33" ht="18.75" customHeight="1" spans="1:18">
      <c r="A33" s="10">
        <v>27</v>
      </c>
      <c r="B33" s="18" t="s">
        <v>91</v>
      </c>
      <c r="C33" s="4" t="s">
        <v>92</v>
      </c>
      <c r="D33" s="15" t="s">
        <v>80</v>
      </c>
      <c r="E33" s="85">
        <v>372145.333333333</v>
      </c>
      <c r="F33" s="15" t="s">
        <v>80</v>
      </c>
      <c r="G33" s="85">
        <v>372145.333333333</v>
      </c>
      <c r="H33" s="220">
        <f t="shared" si="0"/>
        <v>0</v>
      </c>
      <c r="I33" s="220">
        <v>29771.6266666667</v>
      </c>
      <c r="J33" s="85">
        <f t="shared" si="1"/>
        <v>29771.6266666666</v>
      </c>
      <c r="K33" s="85">
        <f t="shared" si="2"/>
        <v>-5.82076609134674e-11</v>
      </c>
      <c r="L33" s="85">
        <f t="shared" si="3"/>
        <v>357259.52</v>
      </c>
      <c r="M33" s="15" t="s">
        <v>80</v>
      </c>
      <c r="N33" s="909">
        <f>'[21] FGN 2024 MGT Monthly'!$H$39</f>
        <v>235577.833333333</v>
      </c>
      <c r="O33" s="909">
        <f>N33*0.025</f>
        <v>5889.44583333333</v>
      </c>
      <c r="P33" s="916">
        <v>6260.744</v>
      </c>
      <c r="Q33" s="909">
        <f t="shared" si="4"/>
        <v>-371.298166666666</v>
      </c>
      <c r="R33" s="909">
        <f t="shared" si="5"/>
        <v>70673.35</v>
      </c>
    </row>
    <row r="34" ht="18.75" customHeight="1" spans="1:18">
      <c r="A34" s="10">
        <v>28</v>
      </c>
      <c r="B34" s="18" t="s">
        <v>93</v>
      </c>
      <c r="C34" s="4" t="s">
        <v>94</v>
      </c>
      <c r="D34" s="10" t="s">
        <v>99</v>
      </c>
      <c r="E34" s="85">
        <v>338711.666666667</v>
      </c>
      <c r="F34" s="10" t="s">
        <v>88</v>
      </c>
      <c r="G34" s="85">
        <v>347016.166666666</v>
      </c>
      <c r="H34" s="220">
        <f t="shared" si="0"/>
        <v>8304.49999999901</v>
      </c>
      <c r="I34" s="85">
        <v>27096.9333333334</v>
      </c>
      <c r="J34" s="85">
        <f t="shared" si="1"/>
        <v>27761.2933333333</v>
      </c>
      <c r="K34" s="85">
        <f t="shared" si="2"/>
        <v>664.359999999881</v>
      </c>
      <c r="L34" s="85">
        <f t="shared" si="3"/>
        <v>333135.519999999</v>
      </c>
      <c r="M34" s="10" t="s">
        <v>88</v>
      </c>
      <c r="N34" s="909">
        <v>222674.583333333</v>
      </c>
      <c r="O34" s="909"/>
      <c r="P34" s="85"/>
      <c r="Q34" s="909">
        <f t="shared" si="4"/>
        <v>0</v>
      </c>
      <c r="R34" s="909">
        <f t="shared" si="5"/>
        <v>0</v>
      </c>
    </row>
    <row r="35" ht="18.75" customHeight="1" spans="1:18">
      <c r="A35" s="10">
        <v>29</v>
      </c>
      <c r="B35" s="18" t="s">
        <v>95</v>
      </c>
      <c r="C35" s="4" t="s">
        <v>96</v>
      </c>
      <c r="D35" s="15" t="s">
        <v>80</v>
      </c>
      <c r="E35" s="85">
        <v>372145.333333333</v>
      </c>
      <c r="F35" s="15" t="s">
        <v>80</v>
      </c>
      <c r="G35" s="85">
        <v>372145.333333333</v>
      </c>
      <c r="H35" s="220">
        <f t="shared" si="0"/>
        <v>0</v>
      </c>
      <c r="I35" s="85">
        <v>29771.6266666667</v>
      </c>
      <c r="J35" s="85">
        <f t="shared" si="1"/>
        <v>29771.6266666666</v>
      </c>
      <c r="K35" s="85">
        <f t="shared" si="2"/>
        <v>-5.82076609134674e-11</v>
      </c>
      <c r="L35" s="85">
        <f t="shared" si="3"/>
        <v>357259.52</v>
      </c>
      <c r="M35" s="15" t="s">
        <v>80</v>
      </c>
      <c r="N35" s="909">
        <f>'[21] FGN 2024 MGT Monthly'!$H$39</f>
        <v>235577.833333333</v>
      </c>
      <c r="O35" s="909"/>
      <c r="P35" s="85"/>
      <c r="Q35" s="909">
        <f t="shared" si="4"/>
        <v>0</v>
      </c>
      <c r="R35" s="909">
        <f t="shared" si="5"/>
        <v>0</v>
      </c>
    </row>
    <row r="36" s="1" customFormat="1" ht="18.75" customHeight="1" spans="1:18">
      <c r="A36" s="10">
        <v>30</v>
      </c>
      <c r="B36" s="18" t="s">
        <v>97</v>
      </c>
      <c r="C36" s="4" t="s">
        <v>98</v>
      </c>
      <c r="D36" s="10" t="s">
        <v>344</v>
      </c>
      <c r="E36" s="85">
        <v>330407.083333333</v>
      </c>
      <c r="F36" s="10" t="s">
        <v>99</v>
      </c>
      <c r="G36" s="85">
        <v>338711.666666667</v>
      </c>
      <c r="H36" s="220">
        <f t="shared" si="0"/>
        <v>8304.58333333395</v>
      </c>
      <c r="I36" s="85">
        <v>29771.6266666667</v>
      </c>
      <c r="J36" s="85">
        <f t="shared" si="1"/>
        <v>27096.9333333334</v>
      </c>
      <c r="K36" s="85">
        <f t="shared" si="2"/>
        <v>-2674.69333333334</v>
      </c>
      <c r="L36" s="85">
        <f t="shared" si="3"/>
        <v>325163.2</v>
      </c>
      <c r="M36" s="10" t="s">
        <v>99</v>
      </c>
      <c r="N36" s="909">
        <v>217733.416666667</v>
      </c>
      <c r="O36" s="909">
        <f>N36*0.025</f>
        <v>5443.33541666668</v>
      </c>
      <c r="P36" s="85">
        <v>5319.8</v>
      </c>
      <c r="Q36" s="909">
        <f t="shared" si="4"/>
        <v>123.535416666676</v>
      </c>
      <c r="R36" s="909">
        <f t="shared" si="5"/>
        <v>65320.0250000001</v>
      </c>
    </row>
    <row r="37" s="1" customFormat="1" ht="18.75" customHeight="1" spans="1:18">
      <c r="A37" s="10">
        <v>31</v>
      </c>
      <c r="B37" s="18" t="s">
        <v>100</v>
      </c>
      <c r="C37" s="4" t="s">
        <v>98</v>
      </c>
      <c r="D37" s="10" t="s">
        <v>344</v>
      </c>
      <c r="E37" s="85">
        <v>330408.083333333</v>
      </c>
      <c r="F37" s="10" t="s">
        <v>99</v>
      </c>
      <c r="G37" s="85">
        <v>338711.666666667</v>
      </c>
      <c r="H37" s="220">
        <f t="shared" si="0"/>
        <v>8303.58333333395</v>
      </c>
      <c r="I37" s="85">
        <v>26432.6466666667</v>
      </c>
      <c r="J37" s="85">
        <f t="shared" si="1"/>
        <v>27096.9333333334</v>
      </c>
      <c r="K37" s="85">
        <f t="shared" si="2"/>
        <v>664.28666666666</v>
      </c>
      <c r="L37" s="85">
        <f t="shared" si="3"/>
        <v>325163.2</v>
      </c>
      <c r="M37" s="10" t="s">
        <v>99</v>
      </c>
      <c r="N37" s="909">
        <v>217733.416666667</v>
      </c>
      <c r="O37" s="909">
        <f>N37*0.025</f>
        <v>5443.33541666668</v>
      </c>
      <c r="P37" s="85">
        <v>5319.8</v>
      </c>
      <c r="Q37" s="909">
        <f t="shared" si="4"/>
        <v>123.535416666676</v>
      </c>
      <c r="R37" s="909">
        <f t="shared" si="5"/>
        <v>65320.0250000001</v>
      </c>
    </row>
    <row r="38" s="1" customFormat="1" ht="18.75" customHeight="1" spans="1:18">
      <c r="A38" s="10">
        <v>32</v>
      </c>
      <c r="B38" s="18" t="s">
        <v>101</v>
      </c>
      <c r="C38" s="4" t="s">
        <v>84</v>
      </c>
      <c r="D38" s="10" t="s">
        <v>344</v>
      </c>
      <c r="E38" s="85">
        <v>330409.083333333</v>
      </c>
      <c r="F38" s="10" t="s">
        <v>99</v>
      </c>
      <c r="G38" s="85">
        <v>338711.666666667</v>
      </c>
      <c r="H38" s="220">
        <f t="shared" si="0"/>
        <v>8302.58333333395</v>
      </c>
      <c r="I38" s="85">
        <v>26432.7266666667</v>
      </c>
      <c r="J38" s="85">
        <f t="shared" si="1"/>
        <v>27096.9333333334</v>
      </c>
      <c r="K38" s="85">
        <f t="shared" si="2"/>
        <v>664.206666666661</v>
      </c>
      <c r="L38" s="85">
        <f t="shared" si="3"/>
        <v>325163.2</v>
      </c>
      <c r="M38" s="10" t="s">
        <v>99</v>
      </c>
      <c r="N38" s="909">
        <v>217733.416666667</v>
      </c>
      <c r="O38" s="909"/>
      <c r="P38" s="85"/>
      <c r="Q38" s="909">
        <f t="shared" si="4"/>
        <v>0</v>
      </c>
      <c r="R38" s="909">
        <f t="shared" si="5"/>
        <v>0</v>
      </c>
    </row>
    <row r="39" s="1" customFormat="1" ht="18.75" customHeight="1" spans="1:18">
      <c r="A39" s="10">
        <v>33</v>
      </c>
      <c r="B39" s="18" t="s">
        <v>102</v>
      </c>
      <c r="C39" s="4" t="s">
        <v>94</v>
      </c>
      <c r="D39" s="10" t="s">
        <v>344</v>
      </c>
      <c r="E39" s="85">
        <v>330409.083333333</v>
      </c>
      <c r="F39" s="10" t="s">
        <v>99</v>
      </c>
      <c r="G39" s="85">
        <v>338711.666666667</v>
      </c>
      <c r="H39" s="220">
        <f t="shared" si="0"/>
        <v>8302.58333333395</v>
      </c>
      <c r="I39" s="85">
        <v>26432.7266666667</v>
      </c>
      <c r="J39" s="85">
        <f t="shared" si="1"/>
        <v>27096.9333333334</v>
      </c>
      <c r="K39" s="85">
        <f t="shared" si="2"/>
        <v>664.206666666661</v>
      </c>
      <c r="L39" s="85">
        <f t="shared" si="3"/>
        <v>325163.2</v>
      </c>
      <c r="M39" s="10" t="s">
        <v>99</v>
      </c>
      <c r="N39" s="909">
        <v>217733.416666667</v>
      </c>
      <c r="O39" s="909">
        <f>N39*0.025</f>
        <v>5443.33541666668</v>
      </c>
      <c r="P39" s="85">
        <v>5319.8</v>
      </c>
      <c r="Q39" s="909">
        <f t="shared" si="4"/>
        <v>123.535416666676</v>
      </c>
      <c r="R39" s="909">
        <f t="shared" si="5"/>
        <v>65320.0250000001</v>
      </c>
    </row>
    <row r="40" ht="18.75" customHeight="1" spans="1:18">
      <c r="A40" s="10">
        <v>34</v>
      </c>
      <c r="B40" s="18" t="s">
        <v>103</v>
      </c>
      <c r="C40" s="12" t="s">
        <v>104</v>
      </c>
      <c r="D40" s="15" t="s">
        <v>108</v>
      </c>
      <c r="E40" s="85">
        <v>301910.75</v>
      </c>
      <c r="F40" s="15" t="s">
        <v>105</v>
      </c>
      <c r="G40" s="85">
        <v>308920.666666667</v>
      </c>
      <c r="H40" s="220">
        <f t="shared" si="0"/>
        <v>7009.91666666698</v>
      </c>
      <c r="I40" s="85">
        <v>24152.86</v>
      </c>
      <c r="J40" s="85">
        <f t="shared" si="1"/>
        <v>24713.6533333334</v>
      </c>
      <c r="K40" s="85">
        <f t="shared" si="2"/>
        <v>560.793333333357</v>
      </c>
      <c r="L40" s="85">
        <f t="shared" si="3"/>
        <v>296563.84</v>
      </c>
      <c r="M40" s="15" t="s">
        <v>105</v>
      </c>
      <c r="N40" s="909">
        <v>200549.416666667</v>
      </c>
      <c r="O40" s="909">
        <f>N40*0.025</f>
        <v>5013.73541666668</v>
      </c>
      <c r="P40" s="916">
        <v>4909.11041666668</v>
      </c>
      <c r="Q40" s="909">
        <f t="shared" si="4"/>
        <v>104.624999999995</v>
      </c>
      <c r="R40" s="909">
        <f t="shared" si="5"/>
        <v>60164.8250000001</v>
      </c>
    </row>
    <row r="41" ht="18.75" customHeight="1" spans="1:18">
      <c r="A41" s="10">
        <v>35</v>
      </c>
      <c r="B41" s="18" t="s">
        <v>106</v>
      </c>
      <c r="C41" s="12" t="s">
        <v>107</v>
      </c>
      <c r="D41" s="15" t="s">
        <v>111</v>
      </c>
      <c r="E41" s="676">
        <v>294900.833333334</v>
      </c>
      <c r="F41" s="15" t="s">
        <v>108</v>
      </c>
      <c r="G41" s="85">
        <v>301910.75</v>
      </c>
      <c r="H41" s="220">
        <f t="shared" si="0"/>
        <v>7009.91666666599</v>
      </c>
      <c r="I41" s="687">
        <v>23592.0666666667</v>
      </c>
      <c r="J41" s="85">
        <f t="shared" si="1"/>
        <v>24152.86</v>
      </c>
      <c r="K41" s="85">
        <f t="shared" si="2"/>
        <v>560.793333333302</v>
      </c>
      <c r="L41" s="85">
        <f t="shared" si="3"/>
        <v>289834.32</v>
      </c>
      <c r="M41" s="15" t="s">
        <v>108</v>
      </c>
      <c r="N41" s="909">
        <v>196364.416666667</v>
      </c>
      <c r="O41" s="909">
        <f>N41*0.025</f>
        <v>4909.11041666668</v>
      </c>
      <c r="P41" s="916">
        <v>4804.48541666668</v>
      </c>
      <c r="Q41" s="909">
        <f t="shared" si="4"/>
        <v>104.624999999995</v>
      </c>
      <c r="R41" s="909">
        <f t="shared" si="5"/>
        <v>58909.3250000001</v>
      </c>
    </row>
    <row r="42" s="1" customFormat="1" customHeight="1" spans="1:18">
      <c r="A42" s="10">
        <v>36</v>
      </c>
      <c r="B42" s="18" t="s">
        <v>109</v>
      </c>
      <c r="C42" s="12" t="s">
        <v>110</v>
      </c>
      <c r="D42" s="15" t="s">
        <v>276</v>
      </c>
      <c r="E42" s="85">
        <v>287890.916666667</v>
      </c>
      <c r="F42" s="15" t="s">
        <v>111</v>
      </c>
      <c r="G42" s="676">
        <v>294900.833333334</v>
      </c>
      <c r="H42" s="220">
        <f t="shared" si="0"/>
        <v>7009.91666666704</v>
      </c>
      <c r="I42" s="686">
        <v>23031.2733333333</v>
      </c>
      <c r="J42" s="85">
        <f t="shared" si="1"/>
        <v>23592.0666666667</v>
      </c>
      <c r="K42" s="85">
        <f t="shared" si="2"/>
        <v>560.793333333419</v>
      </c>
      <c r="L42" s="85">
        <f t="shared" si="3"/>
        <v>283104.800000001</v>
      </c>
      <c r="M42" s="15" t="s">
        <v>111</v>
      </c>
      <c r="N42" s="909">
        <v>192179.416666667</v>
      </c>
      <c r="O42" s="909">
        <f>N42*0.025</f>
        <v>4804.48541666668</v>
      </c>
      <c r="P42" s="833">
        <f>4699.86</f>
        <v>4699.86</v>
      </c>
      <c r="Q42" s="909">
        <f t="shared" si="4"/>
        <v>104.625416666676</v>
      </c>
      <c r="R42" s="909">
        <f t="shared" si="5"/>
        <v>57653.8250000001</v>
      </c>
    </row>
    <row r="43" s="1" customFormat="1" customHeight="1" spans="1:18">
      <c r="A43" s="10">
        <v>37</v>
      </c>
      <c r="B43" s="18" t="s">
        <v>112</v>
      </c>
      <c r="C43" s="12" t="s">
        <v>113</v>
      </c>
      <c r="D43" s="15" t="s">
        <v>276</v>
      </c>
      <c r="E43" s="85">
        <v>287890.916666667</v>
      </c>
      <c r="F43" s="15" t="s">
        <v>111</v>
      </c>
      <c r="G43" s="676">
        <v>294900.833333334</v>
      </c>
      <c r="H43" s="220">
        <f t="shared" si="0"/>
        <v>7009.91666666704</v>
      </c>
      <c r="I43" s="261">
        <v>23031.2733333333</v>
      </c>
      <c r="J43" s="85">
        <f t="shared" si="1"/>
        <v>23592.0666666667</v>
      </c>
      <c r="K43" s="85">
        <f t="shared" si="2"/>
        <v>560.793333333419</v>
      </c>
      <c r="L43" s="85">
        <f t="shared" si="3"/>
        <v>283104.800000001</v>
      </c>
      <c r="M43" s="15" t="s">
        <v>111</v>
      </c>
      <c r="N43" s="909">
        <v>192179.416666667</v>
      </c>
      <c r="O43" s="909"/>
      <c r="P43" s="833"/>
      <c r="Q43" s="909">
        <f t="shared" si="4"/>
        <v>0</v>
      </c>
      <c r="R43" s="909">
        <f t="shared" si="5"/>
        <v>0</v>
      </c>
    </row>
    <row r="44" s="1" customFormat="1" customHeight="1" spans="1:18">
      <c r="A44" s="10">
        <v>38</v>
      </c>
      <c r="B44" s="18" t="s">
        <v>114</v>
      </c>
      <c r="C44" s="12" t="s">
        <v>113</v>
      </c>
      <c r="D44" s="15" t="s">
        <v>276</v>
      </c>
      <c r="E44" s="85">
        <v>287890.916666667</v>
      </c>
      <c r="F44" s="15" t="s">
        <v>111</v>
      </c>
      <c r="G44" s="676">
        <v>294900.833333334</v>
      </c>
      <c r="H44" s="220">
        <f t="shared" si="0"/>
        <v>7009.91666666704</v>
      </c>
      <c r="I44" s="261">
        <v>23031.2733333333</v>
      </c>
      <c r="J44" s="85">
        <f t="shared" si="1"/>
        <v>23592.0666666667</v>
      </c>
      <c r="K44" s="85">
        <f t="shared" si="2"/>
        <v>560.793333333419</v>
      </c>
      <c r="L44" s="85">
        <f t="shared" si="3"/>
        <v>283104.800000001</v>
      </c>
      <c r="M44" s="15" t="s">
        <v>111</v>
      </c>
      <c r="N44" s="909">
        <v>192179.416666667</v>
      </c>
      <c r="O44" s="909"/>
      <c r="P44" s="833"/>
      <c r="Q44" s="909">
        <f t="shared" si="4"/>
        <v>0</v>
      </c>
      <c r="R44" s="909">
        <f t="shared" si="5"/>
        <v>0</v>
      </c>
    </row>
    <row r="45" s="1" customFormat="1" customHeight="1" spans="1:18">
      <c r="A45" s="10">
        <v>39</v>
      </c>
      <c r="B45" s="18" t="s">
        <v>115</v>
      </c>
      <c r="C45" s="12" t="s">
        <v>116</v>
      </c>
      <c r="D45" s="15" t="s">
        <v>276</v>
      </c>
      <c r="E45" s="85">
        <v>287890.916666667</v>
      </c>
      <c r="F45" s="15" t="s">
        <v>111</v>
      </c>
      <c r="G45" s="676">
        <v>294900.833333334</v>
      </c>
      <c r="H45" s="220">
        <f t="shared" si="0"/>
        <v>7009.91666666704</v>
      </c>
      <c r="I45" s="261">
        <v>23031.2733333333</v>
      </c>
      <c r="J45" s="85">
        <f t="shared" si="1"/>
        <v>23592.0666666667</v>
      </c>
      <c r="K45" s="85">
        <f t="shared" si="2"/>
        <v>560.793333333419</v>
      </c>
      <c r="L45" s="85">
        <f t="shared" si="3"/>
        <v>283104.800000001</v>
      </c>
      <c r="M45" s="15" t="s">
        <v>111</v>
      </c>
      <c r="N45" s="909">
        <v>192179.416666667</v>
      </c>
      <c r="O45" s="909"/>
      <c r="P45" s="833"/>
      <c r="Q45" s="909">
        <f t="shared" si="4"/>
        <v>0</v>
      </c>
      <c r="R45" s="909">
        <f t="shared" si="5"/>
        <v>0</v>
      </c>
    </row>
    <row r="46" s="1" customFormat="1" customHeight="1" spans="1:18">
      <c r="A46" s="10">
        <v>40</v>
      </c>
      <c r="B46" s="18" t="s">
        <v>117</v>
      </c>
      <c r="C46" s="12" t="s">
        <v>113</v>
      </c>
      <c r="D46" s="15" t="s">
        <v>276</v>
      </c>
      <c r="E46" s="85">
        <v>287890.916666667</v>
      </c>
      <c r="F46" s="15" t="s">
        <v>111</v>
      </c>
      <c r="G46" s="676">
        <v>294900.833333334</v>
      </c>
      <c r="H46" s="220">
        <f t="shared" si="0"/>
        <v>7009.91666666704</v>
      </c>
      <c r="I46" s="261">
        <v>23031.2733333333</v>
      </c>
      <c r="J46" s="85">
        <f t="shared" si="1"/>
        <v>23592.0666666667</v>
      </c>
      <c r="K46" s="85">
        <f t="shared" si="2"/>
        <v>560.793333333419</v>
      </c>
      <c r="L46" s="85">
        <f t="shared" si="3"/>
        <v>283104.800000001</v>
      </c>
      <c r="M46" s="15" t="s">
        <v>111</v>
      </c>
      <c r="N46" s="909">
        <v>192179.416666667</v>
      </c>
      <c r="O46" s="909"/>
      <c r="P46" s="833"/>
      <c r="Q46" s="909">
        <f t="shared" si="4"/>
        <v>0</v>
      </c>
      <c r="R46" s="909">
        <f t="shared" si="5"/>
        <v>0</v>
      </c>
    </row>
    <row r="47" s="1" customFormat="1" customHeight="1" spans="1:18">
      <c r="A47" s="10">
        <v>41</v>
      </c>
      <c r="B47" s="18" t="s">
        <v>118</v>
      </c>
      <c r="C47" s="12" t="s">
        <v>119</v>
      </c>
      <c r="D47" s="15" t="s">
        <v>276</v>
      </c>
      <c r="E47" s="85">
        <v>287891.916666667</v>
      </c>
      <c r="F47" s="15" t="s">
        <v>111</v>
      </c>
      <c r="G47" s="676">
        <v>294900.833333334</v>
      </c>
      <c r="H47" s="220">
        <f t="shared" si="0"/>
        <v>7008.91666666704</v>
      </c>
      <c r="I47" s="686">
        <v>23031.3533333333</v>
      </c>
      <c r="J47" s="85">
        <f t="shared" si="1"/>
        <v>23592.0666666667</v>
      </c>
      <c r="K47" s="85">
        <f t="shared" si="2"/>
        <v>560.71333333342</v>
      </c>
      <c r="L47" s="85">
        <f t="shared" si="3"/>
        <v>283104.800000001</v>
      </c>
      <c r="M47" s="15" t="s">
        <v>111</v>
      </c>
      <c r="N47" s="909">
        <v>192179.416666667</v>
      </c>
      <c r="O47" s="909"/>
      <c r="P47" s="4"/>
      <c r="Q47" s="909">
        <f t="shared" si="4"/>
        <v>0</v>
      </c>
      <c r="R47" s="909">
        <f t="shared" si="5"/>
        <v>0</v>
      </c>
    </row>
    <row r="48" ht="26.25" customHeight="1" spans="1:18">
      <c r="A48" s="10"/>
      <c r="B48" s="20" t="s">
        <v>120</v>
      </c>
      <c r="C48" s="21">
        <v>41</v>
      </c>
      <c r="D48" s="15"/>
      <c r="E48" s="221">
        <f t="shared" ref="E48:L48" si="6">SUM(E7:E47)</f>
        <v>20203859.6666667</v>
      </c>
      <c r="F48" s="221"/>
      <c r="G48" s="221">
        <f t="shared" si="6"/>
        <v>20529917.5</v>
      </c>
      <c r="H48" s="221">
        <f t="shared" si="6"/>
        <v>326057.833333338</v>
      </c>
      <c r="I48" s="221">
        <f t="shared" si="6"/>
        <v>1394628.64</v>
      </c>
      <c r="J48" s="221">
        <f t="shared" si="6"/>
        <v>1412277.89333333</v>
      </c>
      <c r="K48" s="221">
        <f t="shared" si="6"/>
        <v>17649.2533333336</v>
      </c>
      <c r="L48" s="221">
        <f t="shared" ref="L48:R48" si="7">SUM(L7:L47)</f>
        <v>16947334.72</v>
      </c>
      <c r="M48" s="221">
        <f t="shared" si="7"/>
        <v>0</v>
      </c>
      <c r="N48" s="221">
        <f t="shared" si="7"/>
        <v>11102994.4166667</v>
      </c>
      <c r="O48" s="221">
        <f t="shared" si="7"/>
        <v>148222.560416667</v>
      </c>
      <c r="P48" s="221">
        <f t="shared" si="7"/>
        <v>146189.99425</v>
      </c>
      <c r="Q48" s="221">
        <f t="shared" si="7"/>
        <v>2032.56616666675</v>
      </c>
      <c r="R48" s="221">
        <f t="shared" si="7"/>
        <v>1778670.725</v>
      </c>
    </row>
    <row r="49" ht="18.75" customHeight="1" spans="1:18">
      <c r="A49" s="10"/>
      <c r="B49" s="22"/>
      <c r="C49" s="4"/>
      <c r="D49" s="15"/>
      <c r="E49" s="221"/>
      <c r="F49" s="221"/>
      <c r="G49" s="221"/>
      <c r="H49" s="220"/>
      <c r="I49" s="221"/>
      <c r="J49" s="221"/>
      <c r="K49" s="221"/>
      <c r="L49" s="85"/>
      <c r="M49" s="221"/>
      <c r="N49" s="221"/>
      <c r="O49" s="909"/>
      <c r="P49" s="221"/>
      <c r="Q49" s="909"/>
      <c r="R49" s="909"/>
    </row>
    <row r="50" ht="18.75" customHeight="1" spans="1:18">
      <c r="A50" s="10"/>
      <c r="B50" s="20" t="s">
        <v>121</v>
      </c>
      <c r="C50" s="4"/>
      <c r="D50" s="15"/>
      <c r="E50" s="85"/>
      <c r="F50" s="85"/>
      <c r="G50" s="85"/>
      <c r="H50" s="220"/>
      <c r="I50" s="85"/>
      <c r="J50" s="85"/>
      <c r="K50" s="85"/>
      <c r="L50" s="85"/>
      <c r="M50" s="85"/>
      <c r="N50" s="85"/>
      <c r="O50" s="909"/>
      <c r="P50" s="85"/>
      <c r="Q50" s="909"/>
      <c r="R50" s="909"/>
    </row>
    <row r="51" ht="18.75" customHeight="1" spans="1:18">
      <c r="A51" s="10">
        <v>1</v>
      </c>
      <c r="B51" s="18" t="s">
        <v>122</v>
      </c>
      <c r="C51" s="4" t="s">
        <v>123</v>
      </c>
      <c r="D51" s="10" t="s">
        <v>124</v>
      </c>
      <c r="E51" s="85">
        <v>1747106.41666666</v>
      </c>
      <c r="F51" s="10" t="s">
        <v>124</v>
      </c>
      <c r="G51" s="85">
        <v>1747106.41666666</v>
      </c>
      <c r="H51" s="220">
        <f>G51-E51</f>
        <v>0</v>
      </c>
      <c r="I51" s="85">
        <v>139768.513333333</v>
      </c>
      <c r="J51" s="85">
        <f>G51*0.08</f>
        <v>139768.513333333</v>
      </c>
      <c r="K51" s="85">
        <f>J51-I51</f>
        <v>0</v>
      </c>
      <c r="L51" s="85">
        <f t="shared" si="3"/>
        <v>1677222.15999999</v>
      </c>
      <c r="M51" s="10" t="s">
        <v>124</v>
      </c>
      <c r="N51" s="909">
        <v>1086777.08333333</v>
      </c>
      <c r="O51" s="909"/>
      <c r="P51" s="85"/>
      <c r="Q51" s="909">
        <f t="shared" si="4"/>
        <v>0</v>
      </c>
      <c r="R51" s="909">
        <f t="shared" si="5"/>
        <v>0</v>
      </c>
    </row>
    <row r="52" customHeight="1" spans="1:18">
      <c r="A52" s="10">
        <v>2</v>
      </c>
      <c r="B52" s="11" t="s">
        <v>125</v>
      </c>
      <c r="C52" s="12" t="s">
        <v>126</v>
      </c>
      <c r="D52" s="15" t="s">
        <v>41</v>
      </c>
      <c r="E52" s="85">
        <v>700713.916666666</v>
      </c>
      <c r="F52" s="15" t="s">
        <v>49</v>
      </c>
      <c r="G52" s="85">
        <v>722595.5</v>
      </c>
      <c r="H52" s="220">
        <f t="shared" ref="H52:H58" si="8">G52-E52</f>
        <v>21881.583333334</v>
      </c>
      <c r="I52" s="85">
        <v>56057.1133333333</v>
      </c>
      <c r="J52" s="85">
        <f t="shared" ref="J52:J57" si="9">G52*0.08</f>
        <v>57807.64</v>
      </c>
      <c r="K52" s="85">
        <f t="shared" ref="K52:K57" si="10">J52-I52</f>
        <v>1750.5266666667</v>
      </c>
      <c r="L52" s="85">
        <f t="shared" si="3"/>
        <v>693691.68</v>
      </c>
      <c r="M52" s="15" t="s">
        <v>49</v>
      </c>
      <c r="N52" s="909">
        <v>445995.833333333</v>
      </c>
      <c r="O52" s="909"/>
      <c r="P52" s="85"/>
      <c r="Q52" s="909">
        <f t="shared" si="4"/>
        <v>0</v>
      </c>
      <c r="R52" s="909">
        <f t="shared" si="5"/>
        <v>0</v>
      </c>
    </row>
    <row r="53" ht="18.75" customHeight="1" spans="1:18">
      <c r="A53" s="10">
        <v>3</v>
      </c>
      <c r="B53" s="18" t="s">
        <v>127</v>
      </c>
      <c r="C53" s="4" t="s">
        <v>128</v>
      </c>
      <c r="D53" s="10" t="s">
        <v>74</v>
      </c>
      <c r="E53" s="85">
        <v>381140.666666666</v>
      </c>
      <c r="F53" s="10" t="s">
        <v>77</v>
      </c>
      <c r="G53" s="85">
        <v>390135.833333334</v>
      </c>
      <c r="H53" s="220">
        <f t="shared" si="8"/>
        <v>8995.16666666802</v>
      </c>
      <c r="I53" s="85">
        <v>30491.2533333333</v>
      </c>
      <c r="J53" s="85">
        <f t="shared" si="9"/>
        <v>31210.8666666667</v>
      </c>
      <c r="K53" s="85">
        <f t="shared" si="10"/>
        <v>719.613333333422</v>
      </c>
      <c r="L53" s="85">
        <f t="shared" si="3"/>
        <v>374530.400000001</v>
      </c>
      <c r="M53" s="10" t="s">
        <v>77</v>
      </c>
      <c r="N53" s="909">
        <v>246171.166666667</v>
      </c>
      <c r="O53" s="909">
        <f>N53*0.025</f>
        <v>6154.27916666668</v>
      </c>
      <c r="P53" s="85">
        <v>6021.86458333332</v>
      </c>
      <c r="Q53" s="909">
        <f t="shared" si="4"/>
        <v>132.414583333355</v>
      </c>
      <c r="R53" s="909">
        <f t="shared" si="5"/>
        <v>73851.3500000001</v>
      </c>
    </row>
    <row r="54" ht="18.75" customHeight="1" spans="1:18">
      <c r="A54" s="10">
        <v>4</v>
      </c>
      <c r="B54" s="11" t="s">
        <v>129</v>
      </c>
      <c r="C54" s="4" t="s">
        <v>130</v>
      </c>
      <c r="D54" s="15" t="s">
        <v>504</v>
      </c>
      <c r="E54" s="220">
        <v>441159</v>
      </c>
      <c r="F54" s="15" t="s">
        <v>131</v>
      </c>
      <c r="G54" s="85">
        <v>454993.583333333</v>
      </c>
      <c r="H54" s="220">
        <f t="shared" si="8"/>
        <v>13834.583333333</v>
      </c>
      <c r="I54" s="85">
        <v>35292.72</v>
      </c>
      <c r="J54" s="85">
        <f t="shared" si="9"/>
        <v>36399.4866666666</v>
      </c>
      <c r="K54" s="85">
        <f t="shared" si="10"/>
        <v>1106.76666666664</v>
      </c>
      <c r="L54" s="85">
        <f t="shared" si="3"/>
        <v>436793.84</v>
      </c>
      <c r="M54" s="15" t="s">
        <v>131</v>
      </c>
      <c r="N54" s="909">
        <v>286447.083333333</v>
      </c>
      <c r="O54" s="909"/>
      <c r="P54" s="85"/>
      <c r="Q54" s="909">
        <f t="shared" si="4"/>
        <v>0</v>
      </c>
      <c r="R54" s="909">
        <f t="shared" si="5"/>
        <v>0</v>
      </c>
    </row>
    <row r="55" s="1" customFormat="1" customHeight="1" spans="1:18">
      <c r="A55" s="10">
        <v>5</v>
      </c>
      <c r="B55" s="18" t="s">
        <v>132</v>
      </c>
      <c r="C55" s="4" t="s">
        <v>128</v>
      </c>
      <c r="D55" s="15" t="s">
        <v>344</v>
      </c>
      <c r="E55" s="85">
        <v>330407.083333333</v>
      </c>
      <c r="F55" s="15" t="s">
        <v>99</v>
      </c>
      <c r="G55" s="85">
        <v>338711.666666667</v>
      </c>
      <c r="H55" s="220">
        <f t="shared" si="8"/>
        <v>8304.58333333395</v>
      </c>
      <c r="I55" s="687">
        <v>26432.5666666667</v>
      </c>
      <c r="J55" s="85">
        <f t="shared" si="9"/>
        <v>27096.9333333334</v>
      </c>
      <c r="K55" s="85">
        <f t="shared" si="10"/>
        <v>664.366666666661</v>
      </c>
      <c r="L55" s="85">
        <f t="shared" si="3"/>
        <v>325163.2</v>
      </c>
      <c r="M55" s="15" t="s">
        <v>99</v>
      </c>
      <c r="N55" s="909">
        <v>217733.416666667</v>
      </c>
      <c r="O55" s="909">
        <f>N55*0.025</f>
        <v>5443.33541666668</v>
      </c>
      <c r="P55" s="4">
        <v>5319.8</v>
      </c>
      <c r="Q55" s="909">
        <f t="shared" si="4"/>
        <v>123.535416666676</v>
      </c>
      <c r="R55" s="909">
        <f t="shared" si="5"/>
        <v>65320.0250000001</v>
      </c>
    </row>
    <row r="56" ht="18.75" customHeight="1" spans="1:18">
      <c r="A56" s="10">
        <v>6</v>
      </c>
      <c r="B56" s="11" t="s">
        <v>133</v>
      </c>
      <c r="C56" s="4" t="s">
        <v>134</v>
      </c>
      <c r="D56" s="15" t="s">
        <v>99</v>
      </c>
      <c r="E56" s="676">
        <v>338711.666666667</v>
      </c>
      <c r="F56" s="15" t="s">
        <v>88</v>
      </c>
      <c r="G56" s="85">
        <v>347016.166666666</v>
      </c>
      <c r="H56" s="220">
        <f t="shared" si="8"/>
        <v>8304.49999999901</v>
      </c>
      <c r="I56" s="687">
        <v>27096.9333333334</v>
      </c>
      <c r="J56" s="85">
        <f t="shared" si="9"/>
        <v>27761.2933333333</v>
      </c>
      <c r="K56" s="85">
        <f t="shared" si="10"/>
        <v>664.359999999881</v>
      </c>
      <c r="L56" s="85">
        <f t="shared" si="3"/>
        <v>333135.519999999</v>
      </c>
      <c r="M56" s="15" t="s">
        <v>88</v>
      </c>
      <c r="N56" s="909">
        <v>222674.583333333</v>
      </c>
      <c r="O56" s="909">
        <f>N56*0.025</f>
        <v>5566.86458333332</v>
      </c>
      <c r="P56" s="833">
        <v>5443.33541666668</v>
      </c>
      <c r="Q56" s="909">
        <f t="shared" si="4"/>
        <v>123.529166666644</v>
      </c>
      <c r="R56" s="909">
        <f t="shared" si="5"/>
        <v>66802.3749999999</v>
      </c>
    </row>
    <row r="57" s="1" customFormat="1" customHeight="1" spans="1:18">
      <c r="A57" s="10">
        <v>7</v>
      </c>
      <c r="B57" s="18" t="s">
        <v>135</v>
      </c>
      <c r="C57" s="12" t="s">
        <v>136</v>
      </c>
      <c r="D57" s="15" t="s">
        <v>276</v>
      </c>
      <c r="E57" s="85">
        <v>287890.916666667</v>
      </c>
      <c r="F57" s="15" t="s">
        <v>111</v>
      </c>
      <c r="G57" s="85">
        <v>294900.833333334</v>
      </c>
      <c r="H57" s="220">
        <f t="shared" si="8"/>
        <v>7009.91666666704</v>
      </c>
      <c r="I57" s="687">
        <v>23031.2733333333</v>
      </c>
      <c r="J57" s="85">
        <f t="shared" si="9"/>
        <v>23592.0666666667</v>
      </c>
      <c r="K57" s="85">
        <f t="shared" si="10"/>
        <v>560.793333333419</v>
      </c>
      <c r="L57" s="85">
        <f t="shared" si="3"/>
        <v>283104.800000001</v>
      </c>
      <c r="M57" s="15" t="s">
        <v>111</v>
      </c>
      <c r="N57" s="909">
        <v>192179.416666667</v>
      </c>
      <c r="O57" s="909"/>
      <c r="P57" s="4"/>
      <c r="Q57" s="909">
        <f t="shared" si="4"/>
        <v>0</v>
      </c>
      <c r="R57" s="909">
        <f t="shared" si="5"/>
        <v>0</v>
      </c>
    </row>
    <row r="58" ht="19.5" customHeight="1" spans="1:18">
      <c r="A58" s="10"/>
      <c r="B58" s="14"/>
      <c r="C58" s="21">
        <v>7</v>
      </c>
      <c r="D58" s="10"/>
      <c r="E58" s="221">
        <f t="shared" ref="E58:R58" si="11">SUM(E51:E57)</f>
        <v>4227129.66666666</v>
      </c>
      <c r="F58" s="221"/>
      <c r="G58" s="221">
        <f t="shared" si="11"/>
        <v>4295459.99999999</v>
      </c>
      <c r="H58" s="221">
        <f t="shared" si="11"/>
        <v>68330.333333335</v>
      </c>
      <c r="I58" s="221">
        <f t="shared" si="11"/>
        <v>338170.373333333</v>
      </c>
      <c r="J58" s="221">
        <f t="shared" si="11"/>
        <v>343636.8</v>
      </c>
      <c r="K58" s="221">
        <f t="shared" si="11"/>
        <v>5466.42666666672</v>
      </c>
      <c r="L58" s="221">
        <f t="shared" si="11"/>
        <v>4123641.59999999</v>
      </c>
      <c r="M58" s="221">
        <f t="shared" si="11"/>
        <v>0</v>
      </c>
      <c r="N58" s="221">
        <f t="shared" si="11"/>
        <v>2697978.58333333</v>
      </c>
      <c r="O58" s="221">
        <f t="shared" si="11"/>
        <v>17164.4791666667</v>
      </c>
      <c r="P58" s="221">
        <f t="shared" si="11"/>
        <v>16785</v>
      </c>
      <c r="Q58" s="221">
        <f t="shared" si="11"/>
        <v>379.479166666675</v>
      </c>
      <c r="R58" s="221">
        <f t="shared" si="11"/>
        <v>205973.75</v>
      </c>
    </row>
    <row r="59" customHeight="1" spans="1:18">
      <c r="A59" s="10"/>
      <c r="B59" s="14"/>
      <c r="C59" s="4"/>
      <c r="D59" s="10"/>
      <c r="E59" s="221"/>
      <c r="F59" s="221"/>
      <c r="G59" s="221"/>
      <c r="H59" s="220"/>
      <c r="I59" s="221"/>
      <c r="J59" s="221"/>
      <c r="K59" s="221"/>
      <c r="L59" s="85"/>
      <c r="M59" s="221"/>
      <c r="N59" s="221"/>
      <c r="O59" s="909"/>
      <c r="P59" s="221"/>
      <c r="Q59" s="909"/>
      <c r="R59" s="909"/>
    </row>
    <row r="60" customHeight="1" spans="1:18">
      <c r="A60" s="10"/>
      <c r="B60" s="23" t="s">
        <v>137</v>
      </c>
      <c r="C60" s="5"/>
      <c r="D60" s="24"/>
      <c r="E60" s="221"/>
      <c r="F60" s="221"/>
      <c r="G60" s="221"/>
      <c r="H60" s="220"/>
      <c r="I60" s="85"/>
      <c r="J60" s="85"/>
      <c r="K60" s="85"/>
      <c r="L60" s="85"/>
      <c r="M60" s="221"/>
      <c r="N60" s="221"/>
      <c r="O60" s="909"/>
      <c r="P60" s="85"/>
      <c r="Q60" s="909"/>
      <c r="R60" s="909"/>
    </row>
    <row r="61" customHeight="1" spans="1:18">
      <c r="A61" s="10">
        <v>1</v>
      </c>
      <c r="B61" s="11" t="s">
        <v>138</v>
      </c>
      <c r="C61" s="4" t="s">
        <v>139</v>
      </c>
      <c r="D61" s="10" t="s">
        <v>505</v>
      </c>
      <c r="E61" s="85">
        <v>1647612</v>
      </c>
      <c r="F61" s="189" t="s">
        <v>140</v>
      </c>
      <c r="G61" s="85">
        <v>1697359.33333333</v>
      </c>
      <c r="H61" s="220">
        <f>G61-E61</f>
        <v>49747.33333333</v>
      </c>
      <c r="I61" s="85">
        <v>131808.96</v>
      </c>
      <c r="J61" s="85">
        <f>G61*0.08</f>
        <v>135788.746666666</v>
      </c>
      <c r="K61" s="85">
        <f>J61-I61</f>
        <v>3979.78666666642</v>
      </c>
      <c r="L61" s="85">
        <f t="shared" si="3"/>
        <v>1629464.96</v>
      </c>
      <c r="M61" s="189" t="s">
        <v>140</v>
      </c>
      <c r="N61" s="909">
        <v>1056272.83333333</v>
      </c>
      <c r="O61" s="909"/>
      <c r="P61" s="85"/>
      <c r="Q61" s="909">
        <f t="shared" si="4"/>
        <v>0</v>
      </c>
      <c r="R61" s="909">
        <f t="shared" si="5"/>
        <v>0</v>
      </c>
    </row>
    <row r="62" customHeight="1" spans="1:18">
      <c r="A62" s="10">
        <v>2</v>
      </c>
      <c r="B62" s="11" t="s">
        <v>141</v>
      </c>
      <c r="C62" s="4" t="s">
        <v>142</v>
      </c>
      <c r="D62" s="10" t="s">
        <v>38</v>
      </c>
      <c r="E62" s="85">
        <v>744477</v>
      </c>
      <c r="F62" s="189" t="s">
        <v>38</v>
      </c>
      <c r="G62" s="85">
        <v>744477</v>
      </c>
      <c r="H62" s="220">
        <f t="shared" ref="H62:H72" si="12">G62-E62</f>
        <v>0</v>
      </c>
      <c r="I62" s="85">
        <v>59558.16</v>
      </c>
      <c r="J62" s="85">
        <f t="shared" ref="J62:J72" si="13">G62*0.08</f>
        <v>59558.16</v>
      </c>
      <c r="K62" s="85">
        <f>J62-I62</f>
        <v>0</v>
      </c>
      <c r="L62" s="85">
        <f t="shared" si="3"/>
        <v>714697.92</v>
      </c>
      <c r="M62" s="189" t="s">
        <v>38</v>
      </c>
      <c r="N62" s="909">
        <v>459010.5</v>
      </c>
      <c r="O62" s="909"/>
      <c r="P62" s="85"/>
      <c r="Q62" s="909">
        <f t="shared" si="4"/>
        <v>0</v>
      </c>
      <c r="R62" s="909">
        <f t="shared" si="5"/>
        <v>0</v>
      </c>
    </row>
    <row r="63" customHeight="1" spans="1:18">
      <c r="A63" s="10">
        <v>3</v>
      </c>
      <c r="B63" s="11" t="s">
        <v>143</v>
      </c>
      <c r="C63" s="4" t="s">
        <v>142</v>
      </c>
      <c r="D63" s="10" t="s">
        <v>38</v>
      </c>
      <c r="E63" s="85">
        <v>744477</v>
      </c>
      <c r="F63" s="189" t="s">
        <v>38</v>
      </c>
      <c r="G63" s="85">
        <v>744477</v>
      </c>
      <c r="H63" s="220">
        <f t="shared" si="12"/>
        <v>0</v>
      </c>
      <c r="I63" s="85">
        <v>59558.16</v>
      </c>
      <c r="J63" s="85">
        <f t="shared" si="13"/>
        <v>59558.16</v>
      </c>
      <c r="K63" s="85">
        <f>J63-I63</f>
        <v>0</v>
      </c>
      <c r="L63" s="85">
        <f t="shared" si="3"/>
        <v>714697.92</v>
      </c>
      <c r="M63" s="189" t="s">
        <v>38</v>
      </c>
      <c r="N63" s="909">
        <v>459010.5</v>
      </c>
      <c r="O63" s="909">
        <f>N63*0.025</f>
        <v>11475.2625</v>
      </c>
      <c r="P63" s="85">
        <v>11475.2625</v>
      </c>
      <c r="Q63" s="909">
        <f t="shared" si="4"/>
        <v>0</v>
      </c>
      <c r="R63" s="909">
        <f t="shared" si="5"/>
        <v>137703.15</v>
      </c>
    </row>
    <row r="64" customHeight="1" spans="1:18">
      <c r="A64" s="10">
        <v>4</v>
      </c>
      <c r="B64" s="11" t="s">
        <v>144</v>
      </c>
      <c r="C64" s="4" t="s">
        <v>142</v>
      </c>
      <c r="D64" s="10" t="s">
        <v>49</v>
      </c>
      <c r="E64" s="85">
        <v>722595.5</v>
      </c>
      <c r="F64" s="189" t="s">
        <v>38</v>
      </c>
      <c r="G64" s="85">
        <v>744477</v>
      </c>
      <c r="H64" s="220">
        <f t="shared" si="12"/>
        <v>21881.5</v>
      </c>
      <c r="I64" s="85">
        <v>57807.64</v>
      </c>
      <c r="J64" s="85">
        <f t="shared" si="13"/>
        <v>59558.16</v>
      </c>
      <c r="K64" s="85">
        <f>J64-I64</f>
        <v>1750.52</v>
      </c>
      <c r="L64" s="85">
        <f t="shared" si="3"/>
        <v>714697.92</v>
      </c>
      <c r="M64" s="189" t="s">
        <v>38</v>
      </c>
      <c r="N64" s="909">
        <v>459010.5</v>
      </c>
      <c r="O64" s="909"/>
      <c r="P64" s="85"/>
      <c r="Q64" s="909">
        <f t="shared" si="4"/>
        <v>0</v>
      </c>
      <c r="R64" s="909">
        <f t="shared" si="5"/>
        <v>0</v>
      </c>
    </row>
    <row r="65" customHeight="1" spans="1:18">
      <c r="A65" s="10">
        <v>5</v>
      </c>
      <c r="B65" s="14" t="s">
        <v>145</v>
      </c>
      <c r="C65" s="4" t="s">
        <v>142</v>
      </c>
      <c r="D65" s="10" t="s">
        <v>41</v>
      </c>
      <c r="E65" s="85">
        <v>700713.916666666</v>
      </c>
      <c r="F65" s="189" t="s">
        <v>49</v>
      </c>
      <c r="G65" s="85">
        <v>722595.5</v>
      </c>
      <c r="H65" s="220">
        <f t="shared" si="12"/>
        <v>21881.583333334</v>
      </c>
      <c r="I65" s="85">
        <v>56057.1133333333</v>
      </c>
      <c r="J65" s="85">
        <f t="shared" si="13"/>
        <v>57807.64</v>
      </c>
      <c r="K65" s="85">
        <f>J65-I65</f>
        <v>1750.5266666667</v>
      </c>
      <c r="L65" s="85">
        <f t="shared" si="3"/>
        <v>693691.68</v>
      </c>
      <c r="M65" s="189" t="s">
        <v>49</v>
      </c>
      <c r="N65" s="909">
        <v>445995.833333333</v>
      </c>
      <c r="O65" s="909"/>
      <c r="P65" s="85">
        <v>0</v>
      </c>
      <c r="Q65" s="909">
        <f t="shared" si="4"/>
        <v>0</v>
      </c>
      <c r="R65" s="909">
        <f t="shared" si="5"/>
        <v>0</v>
      </c>
    </row>
    <row r="66" customFormat="1" customHeight="1" spans="1:18">
      <c r="A66" s="10">
        <v>6</v>
      </c>
      <c r="B66" s="14" t="s">
        <v>146</v>
      </c>
      <c r="C66" s="4" t="s">
        <v>142</v>
      </c>
      <c r="D66" s="10" t="s">
        <v>41</v>
      </c>
      <c r="E66" s="85">
        <v>700713.916666666</v>
      </c>
      <c r="F66" s="189" t="s">
        <v>49</v>
      </c>
      <c r="G66" s="85">
        <v>722595.5</v>
      </c>
      <c r="H66" s="220">
        <f t="shared" si="12"/>
        <v>21881.583333334</v>
      </c>
      <c r="I66" s="85">
        <v>56057.1133333333</v>
      </c>
      <c r="J66" s="85">
        <f t="shared" si="13"/>
        <v>57807.64</v>
      </c>
      <c r="K66" s="85">
        <f t="shared" ref="K66:K72" si="14">J66-I66</f>
        <v>1750.5266666667</v>
      </c>
      <c r="L66" s="85">
        <f t="shared" si="3"/>
        <v>693691.68</v>
      </c>
      <c r="M66" s="189" t="s">
        <v>49</v>
      </c>
      <c r="N66" s="909">
        <v>445995.833333333</v>
      </c>
      <c r="O66" s="909"/>
      <c r="P66" s="85">
        <v>0</v>
      </c>
      <c r="Q66" s="909">
        <f t="shared" si="4"/>
        <v>0</v>
      </c>
      <c r="R66" s="909">
        <f t="shared" si="5"/>
        <v>0</v>
      </c>
    </row>
    <row r="67" s="1" customFormat="1" customHeight="1" spans="1:18">
      <c r="A67" s="10">
        <v>7</v>
      </c>
      <c r="B67" s="18" t="s">
        <v>147</v>
      </c>
      <c r="C67" s="4" t="s">
        <v>148</v>
      </c>
      <c r="D67" s="15" t="s">
        <v>504</v>
      </c>
      <c r="E67" s="220">
        <v>441159</v>
      </c>
      <c r="F67" s="189" t="s">
        <v>131</v>
      </c>
      <c r="G67" s="85">
        <v>454993.583333333</v>
      </c>
      <c r="H67" s="220">
        <f t="shared" si="12"/>
        <v>13834.583333333</v>
      </c>
      <c r="I67" s="85">
        <v>35292.72</v>
      </c>
      <c r="J67" s="85">
        <f t="shared" si="13"/>
        <v>36399.4866666666</v>
      </c>
      <c r="K67" s="85">
        <f t="shared" si="14"/>
        <v>1106.76666666664</v>
      </c>
      <c r="L67" s="85">
        <f t="shared" si="3"/>
        <v>436793.84</v>
      </c>
      <c r="M67" s="189" t="s">
        <v>131</v>
      </c>
      <c r="N67" s="909">
        <v>286447.083333333</v>
      </c>
      <c r="O67" s="909"/>
      <c r="P67" s="85"/>
      <c r="Q67" s="909">
        <f t="shared" si="4"/>
        <v>0</v>
      </c>
      <c r="R67" s="909">
        <f t="shared" si="5"/>
        <v>0</v>
      </c>
    </row>
    <row r="68" customHeight="1" spans="1:18">
      <c r="A68" s="10">
        <v>8</v>
      </c>
      <c r="B68" s="11" t="s">
        <v>149</v>
      </c>
      <c r="C68" s="4" t="s">
        <v>150</v>
      </c>
      <c r="D68" s="10" t="s">
        <v>77</v>
      </c>
      <c r="E68" s="85">
        <v>390135.833333334</v>
      </c>
      <c r="F68" s="189" t="s">
        <v>151</v>
      </c>
      <c r="G68" s="85">
        <f>'[21] FGN 2024 MGT Monthly'!$K$39+'[21]Peculiar Allowance'!$K$39</f>
        <v>399131.166666667</v>
      </c>
      <c r="H68" s="220">
        <f t="shared" si="12"/>
        <v>8995.33333333262</v>
      </c>
      <c r="I68" s="85">
        <v>31210.8666666667</v>
      </c>
      <c r="J68" s="85">
        <f t="shared" si="13"/>
        <v>31930.4933333333</v>
      </c>
      <c r="K68" s="85">
        <f t="shared" si="14"/>
        <v>719.626666666631</v>
      </c>
      <c r="L68" s="85">
        <f t="shared" si="3"/>
        <v>383165.92</v>
      </c>
      <c r="M68" s="189" t="s">
        <v>151</v>
      </c>
      <c r="N68" s="909">
        <v>251467.916666667</v>
      </c>
      <c r="O68" s="909"/>
      <c r="P68" s="85"/>
      <c r="Q68" s="909">
        <f t="shared" si="4"/>
        <v>0</v>
      </c>
      <c r="R68" s="909">
        <f t="shared" si="5"/>
        <v>0</v>
      </c>
    </row>
    <row r="69" s="1" customFormat="1" customHeight="1" spans="1:18">
      <c r="A69" s="10">
        <v>9</v>
      </c>
      <c r="B69" s="11" t="s">
        <v>152</v>
      </c>
      <c r="C69" s="4" t="s">
        <v>82</v>
      </c>
      <c r="D69" s="10" t="s">
        <v>80</v>
      </c>
      <c r="E69" s="85">
        <v>372145.333333333</v>
      </c>
      <c r="F69" s="189" t="s">
        <v>74</v>
      </c>
      <c r="G69" s="85">
        <v>381140.666666666</v>
      </c>
      <c r="H69" s="220">
        <f t="shared" si="12"/>
        <v>8995.33333333296</v>
      </c>
      <c r="I69" s="85">
        <v>29771.6266666667</v>
      </c>
      <c r="J69" s="85">
        <f t="shared" si="13"/>
        <v>30491.2533333333</v>
      </c>
      <c r="K69" s="85">
        <f t="shared" si="14"/>
        <v>719.62666666658</v>
      </c>
      <c r="L69" s="85">
        <f t="shared" si="3"/>
        <v>365895.039999999</v>
      </c>
      <c r="M69" s="189" t="s">
        <v>74</v>
      </c>
      <c r="N69" s="909">
        <v>240874.583333333</v>
      </c>
      <c r="O69" s="909"/>
      <c r="P69" s="85"/>
      <c r="Q69" s="909">
        <f t="shared" si="4"/>
        <v>0</v>
      </c>
      <c r="R69" s="909">
        <f t="shared" si="5"/>
        <v>0</v>
      </c>
    </row>
    <row r="70" customHeight="1" spans="1:18">
      <c r="A70" s="10">
        <v>10</v>
      </c>
      <c r="B70" s="11" t="s">
        <v>153</v>
      </c>
      <c r="C70" s="4" t="s">
        <v>150</v>
      </c>
      <c r="D70" s="10" t="s">
        <v>88</v>
      </c>
      <c r="E70" s="85">
        <v>347016.166666666</v>
      </c>
      <c r="F70" s="189" t="s">
        <v>85</v>
      </c>
      <c r="G70" s="85">
        <v>355320.666666667</v>
      </c>
      <c r="H70" s="220">
        <f t="shared" si="12"/>
        <v>8304.50000000099</v>
      </c>
      <c r="I70" s="85">
        <v>27761.2933333333</v>
      </c>
      <c r="J70" s="85">
        <f t="shared" si="13"/>
        <v>28425.6533333334</v>
      </c>
      <c r="K70" s="85">
        <f t="shared" si="14"/>
        <v>664.360000000059</v>
      </c>
      <c r="L70" s="85">
        <f t="shared" si="3"/>
        <v>341107.84</v>
      </c>
      <c r="M70" s="189" t="s">
        <v>85</v>
      </c>
      <c r="N70" s="909">
        <v>227615.75</v>
      </c>
      <c r="O70" s="909"/>
      <c r="P70" s="85"/>
      <c r="Q70" s="909">
        <f t="shared" si="4"/>
        <v>0</v>
      </c>
      <c r="R70" s="909">
        <f t="shared" si="5"/>
        <v>0</v>
      </c>
    </row>
    <row r="71" customHeight="1" spans="1:18">
      <c r="A71" s="10">
        <v>11</v>
      </c>
      <c r="B71" s="11" t="s">
        <v>154</v>
      </c>
      <c r="C71" s="4" t="s">
        <v>150</v>
      </c>
      <c r="D71" s="10" t="s">
        <v>88</v>
      </c>
      <c r="E71" s="85">
        <v>347016.166666666</v>
      </c>
      <c r="F71" s="189" t="s">
        <v>85</v>
      </c>
      <c r="G71" s="85">
        <v>355320.666666667</v>
      </c>
      <c r="H71" s="220">
        <f t="shared" si="12"/>
        <v>8304.50000000099</v>
      </c>
      <c r="I71" s="85">
        <v>27761.2933333333</v>
      </c>
      <c r="J71" s="85">
        <f t="shared" si="13"/>
        <v>28425.6533333334</v>
      </c>
      <c r="K71" s="85">
        <f t="shared" si="14"/>
        <v>664.360000000059</v>
      </c>
      <c r="L71" s="85">
        <f t="shared" si="3"/>
        <v>341107.84</v>
      </c>
      <c r="M71" s="189" t="s">
        <v>85</v>
      </c>
      <c r="N71" s="909">
        <v>227615.75</v>
      </c>
      <c r="O71" s="909"/>
      <c r="P71" s="85"/>
      <c r="Q71" s="909">
        <f t="shared" si="4"/>
        <v>0</v>
      </c>
      <c r="R71" s="909">
        <f t="shared" si="5"/>
        <v>0</v>
      </c>
    </row>
    <row r="72" s="1" customFormat="1" ht="18.75" customHeight="1" spans="1:18">
      <c r="A72" s="10">
        <v>12</v>
      </c>
      <c r="B72" s="18" t="s">
        <v>155</v>
      </c>
      <c r="C72" s="4" t="s">
        <v>150</v>
      </c>
      <c r="D72" s="10" t="s">
        <v>344</v>
      </c>
      <c r="E72" s="85">
        <v>330407.083333333</v>
      </c>
      <c r="F72" s="189" t="s">
        <v>99</v>
      </c>
      <c r="G72" s="85">
        <v>338711.666666667</v>
      </c>
      <c r="H72" s="220">
        <f t="shared" si="12"/>
        <v>8304.58333333395</v>
      </c>
      <c r="I72" s="85">
        <v>26432.5666666667</v>
      </c>
      <c r="J72" s="85">
        <f t="shared" si="13"/>
        <v>27096.9333333334</v>
      </c>
      <c r="K72" s="85">
        <f t="shared" si="14"/>
        <v>664.366666666661</v>
      </c>
      <c r="L72" s="85">
        <f t="shared" ref="L72:L135" si="15">J72*12</f>
        <v>325163.2</v>
      </c>
      <c r="M72" s="189" t="s">
        <v>99</v>
      </c>
      <c r="N72" s="909">
        <v>217733.416666667</v>
      </c>
      <c r="O72" s="909"/>
      <c r="P72" s="85"/>
      <c r="Q72" s="909">
        <f t="shared" si="4"/>
        <v>0</v>
      </c>
      <c r="R72" s="909">
        <f t="shared" si="5"/>
        <v>0</v>
      </c>
    </row>
    <row r="73" ht="25.5" customHeight="1" spans="1:18">
      <c r="A73" s="10"/>
      <c r="B73" s="20" t="s">
        <v>120</v>
      </c>
      <c r="C73" s="21">
        <v>12</v>
      </c>
      <c r="D73" s="21"/>
      <c r="E73" s="93">
        <f t="shared" ref="E73:L73" si="16">SUM(E61:E72)</f>
        <v>7488468.91666666</v>
      </c>
      <c r="F73" s="93"/>
      <c r="G73" s="93">
        <f t="shared" si="16"/>
        <v>7660599.75</v>
      </c>
      <c r="H73" s="93">
        <f t="shared" si="16"/>
        <v>172130.833333332</v>
      </c>
      <c r="I73" s="93">
        <f t="shared" si="16"/>
        <v>599077.513333333</v>
      </c>
      <c r="J73" s="93">
        <f t="shared" si="16"/>
        <v>612847.98</v>
      </c>
      <c r="K73" s="93">
        <f t="shared" si="16"/>
        <v>13770.4666666665</v>
      </c>
      <c r="L73" s="93">
        <f t="shared" ref="L73:R73" si="17">SUM(L61:L72)</f>
        <v>7354175.76</v>
      </c>
      <c r="M73" s="93">
        <f t="shared" si="17"/>
        <v>0</v>
      </c>
      <c r="N73" s="93">
        <f t="shared" si="17"/>
        <v>4777050.5</v>
      </c>
      <c r="O73" s="93">
        <f t="shared" si="17"/>
        <v>11475.2625</v>
      </c>
      <c r="P73" s="93">
        <f t="shared" si="17"/>
        <v>11475.2625</v>
      </c>
      <c r="Q73" s="93">
        <f t="shared" si="17"/>
        <v>0</v>
      </c>
      <c r="R73" s="93">
        <f t="shared" si="17"/>
        <v>137703.15</v>
      </c>
    </row>
    <row r="74" customHeight="1" spans="1:18">
      <c r="A74" s="10"/>
      <c r="B74" s="22"/>
      <c r="C74" s="21"/>
      <c r="D74" s="21"/>
      <c r="E74" s="146"/>
      <c r="F74" s="146"/>
      <c r="G74" s="146"/>
      <c r="H74" s="220"/>
      <c r="I74" s="146"/>
      <c r="J74" s="146"/>
      <c r="K74" s="146"/>
      <c r="L74" s="85"/>
      <c r="M74" s="146"/>
      <c r="N74" s="146"/>
      <c r="O74" s="909"/>
      <c r="P74" s="146"/>
      <c r="Q74" s="909"/>
      <c r="R74" s="909"/>
    </row>
    <row r="75" customHeight="1" spans="1:18">
      <c r="A75" s="10"/>
      <c r="B75" s="20" t="s">
        <v>156</v>
      </c>
      <c r="C75" s="21"/>
      <c r="D75" s="21"/>
      <c r="E75" s="146"/>
      <c r="F75" s="146"/>
      <c r="G75" s="146"/>
      <c r="H75" s="220"/>
      <c r="I75" s="146"/>
      <c r="J75" s="146"/>
      <c r="K75" s="146"/>
      <c r="L75" s="85"/>
      <c r="M75" s="146"/>
      <c r="N75" s="146"/>
      <c r="O75" s="909"/>
      <c r="P75" s="146"/>
      <c r="Q75" s="909"/>
      <c r="R75" s="909"/>
    </row>
    <row r="76" customHeight="1" spans="1:18">
      <c r="A76" s="10">
        <v>1</v>
      </c>
      <c r="B76" s="11" t="s">
        <v>157</v>
      </c>
      <c r="C76" s="12" t="s">
        <v>158</v>
      </c>
      <c r="D76" s="15" t="s">
        <v>124</v>
      </c>
      <c r="E76" s="85">
        <v>1747106.41666666</v>
      </c>
      <c r="F76" s="15" t="s">
        <v>124</v>
      </c>
      <c r="G76" s="85">
        <v>1747106.41666666</v>
      </c>
      <c r="H76" s="220">
        <f>G76-E76</f>
        <v>0</v>
      </c>
      <c r="I76" s="676">
        <v>139768.513333333</v>
      </c>
      <c r="J76" s="676">
        <v>139768.513333333</v>
      </c>
      <c r="K76" s="676">
        <f>J76-I76</f>
        <v>0</v>
      </c>
      <c r="L76" s="85">
        <f t="shared" si="15"/>
        <v>1677222.16</v>
      </c>
      <c r="M76" s="15" t="s">
        <v>124</v>
      </c>
      <c r="N76" s="909">
        <v>1086777.08333333</v>
      </c>
      <c r="O76" s="909"/>
      <c r="P76" s="85">
        <v>0</v>
      </c>
      <c r="Q76" s="909">
        <f t="shared" ref="Q73:Q136" si="18">O76-P76</f>
        <v>0</v>
      </c>
      <c r="R76" s="909">
        <f t="shared" ref="R73:R136" si="19">O76*12</f>
        <v>0</v>
      </c>
    </row>
    <row r="77" customHeight="1" spans="1:18">
      <c r="A77" s="10">
        <v>2</v>
      </c>
      <c r="B77" s="11" t="s">
        <v>159</v>
      </c>
      <c r="C77" s="12" t="s">
        <v>160</v>
      </c>
      <c r="D77" s="15" t="s">
        <v>161</v>
      </c>
      <c r="E77" s="85">
        <v>744477</v>
      </c>
      <c r="F77" s="15" t="s">
        <v>161</v>
      </c>
      <c r="G77" s="85">
        <v>744477</v>
      </c>
      <c r="H77" s="220">
        <f>G77-E77</f>
        <v>0</v>
      </c>
      <c r="I77" s="676">
        <v>59558.16</v>
      </c>
      <c r="J77" s="676">
        <v>59558.16</v>
      </c>
      <c r="K77" s="676">
        <f>J77-I77</f>
        <v>0</v>
      </c>
      <c r="L77" s="85">
        <f t="shared" si="15"/>
        <v>714697.92</v>
      </c>
      <c r="M77" s="15" t="s">
        <v>161</v>
      </c>
      <c r="N77" s="909">
        <v>459010.5</v>
      </c>
      <c r="O77" s="909"/>
      <c r="P77" s="85">
        <v>0</v>
      </c>
      <c r="Q77" s="909">
        <f t="shared" si="18"/>
        <v>0</v>
      </c>
      <c r="R77" s="909">
        <f t="shared" si="19"/>
        <v>0</v>
      </c>
    </row>
    <row r="78" customHeight="1" spans="1:18">
      <c r="A78" s="10"/>
      <c r="B78" s="20" t="s">
        <v>120</v>
      </c>
      <c r="C78" s="21">
        <v>2</v>
      </c>
      <c r="D78" s="21"/>
      <c r="E78" s="93">
        <f t="shared" ref="E78:L78" si="20">SUM(E76:E77)</f>
        <v>2491583.41666666</v>
      </c>
      <c r="F78" s="93"/>
      <c r="G78" s="93">
        <f t="shared" si="20"/>
        <v>2491583.41666666</v>
      </c>
      <c r="H78" s="93">
        <f t="shared" si="20"/>
        <v>0</v>
      </c>
      <c r="I78" s="93">
        <f t="shared" si="20"/>
        <v>199326.673333333</v>
      </c>
      <c r="J78" s="93">
        <f t="shared" si="20"/>
        <v>199326.673333333</v>
      </c>
      <c r="K78" s="93">
        <f t="shared" si="20"/>
        <v>0</v>
      </c>
      <c r="L78" s="146">
        <f t="shared" si="15"/>
        <v>2391920.08</v>
      </c>
      <c r="M78" s="93"/>
      <c r="N78" s="93"/>
      <c r="O78" s="909"/>
      <c r="P78" s="93">
        <f>SUM(P76:P77)</f>
        <v>0</v>
      </c>
      <c r="Q78" s="909"/>
      <c r="R78" s="909"/>
    </row>
    <row r="79" customHeight="1" spans="1:18">
      <c r="A79" s="10"/>
      <c r="B79" s="20"/>
      <c r="C79" s="21"/>
      <c r="D79" s="21"/>
      <c r="E79" s="146"/>
      <c r="F79" s="146"/>
      <c r="G79" s="146"/>
      <c r="H79" s="220"/>
      <c r="I79" s="146"/>
      <c r="J79" s="146"/>
      <c r="K79" s="146"/>
      <c r="L79" s="85"/>
      <c r="M79" s="146"/>
      <c r="N79" s="146"/>
      <c r="O79" s="909"/>
      <c r="P79" s="146"/>
      <c r="Q79" s="909"/>
      <c r="R79" s="909"/>
    </row>
    <row r="80" customHeight="1" spans="1:18">
      <c r="A80" s="10"/>
      <c r="B80" s="20" t="s">
        <v>162</v>
      </c>
      <c r="C80" s="21"/>
      <c r="D80" s="21"/>
      <c r="E80" s="146"/>
      <c r="F80" s="146"/>
      <c r="G80" s="146"/>
      <c r="H80" s="220"/>
      <c r="I80" s="146"/>
      <c r="J80" s="146"/>
      <c r="K80" s="146"/>
      <c r="L80" s="85"/>
      <c r="M80" s="146"/>
      <c r="N80" s="146"/>
      <c r="O80" s="909"/>
      <c r="P80" s="146"/>
      <c r="Q80" s="909"/>
      <c r="R80" s="909"/>
    </row>
    <row r="81" customHeight="1" spans="1:18">
      <c r="A81" s="10">
        <v>1</v>
      </c>
      <c r="B81" s="14" t="s">
        <v>163</v>
      </c>
      <c r="C81" s="4" t="s">
        <v>164</v>
      </c>
      <c r="D81" s="10" t="s">
        <v>35</v>
      </c>
      <c r="E81" s="85">
        <v>905306.75</v>
      </c>
      <c r="F81" s="189" t="s">
        <v>35</v>
      </c>
      <c r="G81" s="85">
        <v>905306.75</v>
      </c>
      <c r="H81" s="220">
        <f>G81-E81</f>
        <v>0</v>
      </c>
      <c r="I81" s="85">
        <v>72424.54</v>
      </c>
      <c r="J81" s="85">
        <f>G81*0.08</f>
        <v>72424.54</v>
      </c>
      <c r="K81" s="85">
        <f>J81-I81</f>
        <v>0</v>
      </c>
      <c r="L81" s="85">
        <f t="shared" si="15"/>
        <v>869094.48</v>
      </c>
      <c r="M81" s="189" t="s">
        <v>35</v>
      </c>
      <c r="N81" s="909">
        <v>554669.5</v>
      </c>
      <c r="O81" s="909">
        <f>N81*0.025</f>
        <v>13866.7375</v>
      </c>
      <c r="P81" s="85">
        <v>13866.7375</v>
      </c>
      <c r="Q81" s="909">
        <f t="shared" si="18"/>
        <v>0</v>
      </c>
      <c r="R81" s="909">
        <f t="shared" si="19"/>
        <v>166400.85</v>
      </c>
    </row>
    <row r="82" customHeight="1" spans="1:18">
      <c r="A82" s="10">
        <v>2</v>
      </c>
      <c r="B82" s="11" t="s">
        <v>165</v>
      </c>
      <c r="C82" s="4" t="s">
        <v>51</v>
      </c>
      <c r="D82" s="10" t="s">
        <v>212</v>
      </c>
      <c r="E82" s="85">
        <v>558165.25</v>
      </c>
      <c r="F82" s="189" t="s">
        <v>46</v>
      </c>
      <c r="G82" s="85">
        <v>573911.083333334</v>
      </c>
      <c r="H82" s="220">
        <f t="shared" ref="H82:H91" si="21">G82-E82</f>
        <v>15745.833333334</v>
      </c>
      <c r="I82" s="85">
        <v>44653.22</v>
      </c>
      <c r="J82" s="85">
        <f t="shared" ref="J82:J91" si="22">G82*0.08</f>
        <v>45912.8866666667</v>
      </c>
      <c r="K82" s="85">
        <f t="shared" ref="K82:K91" si="23">J82-I82</f>
        <v>1259.66666666672</v>
      </c>
      <c r="L82" s="85">
        <f t="shared" si="15"/>
        <v>550954.640000001</v>
      </c>
      <c r="M82" s="189" t="s">
        <v>46</v>
      </c>
      <c r="N82" s="909">
        <v>357066.666666667</v>
      </c>
      <c r="O82" s="909"/>
      <c r="P82" s="85"/>
      <c r="Q82" s="909">
        <f t="shared" si="18"/>
        <v>0</v>
      </c>
      <c r="R82" s="909">
        <f t="shared" si="19"/>
        <v>0</v>
      </c>
    </row>
    <row r="83" s="1" customFormat="1" customHeight="1" spans="1:18">
      <c r="A83" s="10">
        <v>3</v>
      </c>
      <c r="B83" s="18" t="s">
        <v>166</v>
      </c>
      <c r="C83" s="17" t="s">
        <v>167</v>
      </c>
      <c r="D83" s="15" t="s">
        <v>66</v>
      </c>
      <c r="E83" s="85">
        <v>482846.583333333</v>
      </c>
      <c r="F83" s="189" t="s">
        <v>63</v>
      </c>
      <c r="G83" s="85">
        <v>497472.75</v>
      </c>
      <c r="H83" s="220">
        <f t="shared" si="21"/>
        <v>14626.166666667</v>
      </c>
      <c r="I83" s="85">
        <v>38627.7266666667</v>
      </c>
      <c r="J83" s="85">
        <f t="shared" si="22"/>
        <v>39797.82</v>
      </c>
      <c r="K83" s="85">
        <f t="shared" si="23"/>
        <v>1170.0933333333</v>
      </c>
      <c r="L83" s="85">
        <f t="shared" si="15"/>
        <v>477573.84</v>
      </c>
      <c r="M83" s="189" t="s">
        <v>63</v>
      </c>
      <c r="N83" s="909">
        <v>311673.25</v>
      </c>
      <c r="O83" s="909">
        <f>N83*0.025</f>
        <v>7791.83125</v>
      </c>
      <c r="P83" s="85">
        <v>7574.69</v>
      </c>
      <c r="Q83" s="909">
        <f t="shared" si="18"/>
        <v>217.141250000001</v>
      </c>
      <c r="R83" s="909">
        <f t="shared" si="19"/>
        <v>93501.975</v>
      </c>
    </row>
    <row r="84" s="1" customFormat="1" customHeight="1" spans="1:18">
      <c r="A84" s="10">
        <v>4</v>
      </c>
      <c r="B84" s="18" t="s">
        <v>168</v>
      </c>
      <c r="C84" s="17" t="s">
        <v>167</v>
      </c>
      <c r="D84" s="15" t="s">
        <v>66</v>
      </c>
      <c r="E84" s="85">
        <v>482846.583333333</v>
      </c>
      <c r="F84" s="189" t="s">
        <v>63</v>
      </c>
      <c r="G84" s="85">
        <v>497472.75</v>
      </c>
      <c r="H84" s="220">
        <f t="shared" si="21"/>
        <v>14626.166666667</v>
      </c>
      <c r="I84" s="85">
        <v>38627.7266666667</v>
      </c>
      <c r="J84" s="85">
        <f t="shared" si="22"/>
        <v>39797.82</v>
      </c>
      <c r="K84" s="85">
        <f t="shared" si="23"/>
        <v>1170.0933333333</v>
      </c>
      <c r="L84" s="85">
        <f t="shared" si="15"/>
        <v>477573.84</v>
      </c>
      <c r="M84" s="189" t="s">
        <v>63</v>
      </c>
      <c r="N84" s="909">
        <v>311673.25</v>
      </c>
      <c r="O84" s="909">
        <f>N84*0.025</f>
        <v>7791.83125</v>
      </c>
      <c r="P84" s="85">
        <v>7574.69</v>
      </c>
      <c r="Q84" s="909">
        <f t="shared" si="18"/>
        <v>217.141250000001</v>
      </c>
      <c r="R84" s="909">
        <f t="shared" si="19"/>
        <v>93501.975</v>
      </c>
    </row>
    <row r="85" customHeight="1" spans="1:18">
      <c r="A85" s="10">
        <v>5</v>
      </c>
      <c r="B85" s="11" t="s">
        <v>169</v>
      </c>
      <c r="C85" s="4" t="s">
        <v>150</v>
      </c>
      <c r="D85" s="10" t="s">
        <v>69</v>
      </c>
      <c r="E85" s="85">
        <v>468828.166666667</v>
      </c>
      <c r="F85" s="189" t="s">
        <v>170</v>
      </c>
      <c r="G85" s="85">
        <v>482662.666666667</v>
      </c>
      <c r="H85" s="220">
        <f t="shared" si="21"/>
        <v>13834.5</v>
      </c>
      <c r="I85" s="85">
        <v>37506.2533333334</v>
      </c>
      <c r="J85" s="85">
        <f t="shared" si="22"/>
        <v>38613.0133333334</v>
      </c>
      <c r="K85" s="85">
        <f t="shared" si="23"/>
        <v>1106.75999999996</v>
      </c>
      <c r="L85" s="85">
        <f t="shared" si="15"/>
        <v>463356.16</v>
      </c>
      <c r="M85" s="189" t="s">
        <v>170</v>
      </c>
      <c r="N85" s="909">
        <v>302878.666666667</v>
      </c>
      <c r="O85" s="909">
        <f>N85*0.025</f>
        <v>7571.96666666667</v>
      </c>
      <c r="P85" s="85">
        <f>7366.57</f>
        <v>7366.57</v>
      </c>
      <c r="Q85" s="909">
        <f t="shared" si="18"/>
        <v>205.396666666675</v>
      </c>
      <c r="R85" s="909">
        <f t="shared" si="19"/>
        <v>90863.6000000001</v>
      </c>
    </row>
    <row r="86" customHeight="1" spans="1:18">
      <c r="A86" s="10">
        <v>6</v>
      </c>
      <c r="B86" s="11" t="s">
        <v>171</v>
      </c>
      <c r="C86" s="17" t="s">
        <v>71</v>
      </c>
      <c r="D86" s="10" t="s">
        <v>69</v>
      </c>
      <c r="E86" s="85">
        <v>468828.166666667</v>
      </c>
      <c r="F86" s="189" t="s">
        <v>170</v>
      </c>
      <c r="G86" s="85">
        <v>482662.666666667</v>
      </c>
      <c r="H86" s="220">
        <f t="shared" si="21"/>
        <v>13834.5</v>
      </c>
      <c r="I86" s="85">
        <v>37506.2533333334</v>
      </c>
      <c r="J86" s="85">
        <f t="shared" si="22"/>
        <v>38613.0133333334</v>
      </c>
      <c r="K86" s="85">
        <f t="shared" si="23"/>
        <v>1106.75999999996</v>
      </c>
      <c r="L86" s="85">
        <f t="shared" si="15"/>
        <v>463356.16</v>
      </c>
      <c r="M86" s="189" t="s">
        <v>170</v>
      </c>
      <c r="N86" s="909">
        <v>302878.666666667</v>
      </c>
      <c r="O86" s="909"/>
      <c r="P86" s="85"/>
      <c r="Q86" s="909">
        <f t="shared" si="18"/>
        <v>0</v>
      </c>
      <c r="R86" s="909">
        <f t="shared" si="19"/>
        <v>0</v>
      </c>
    </row>
    <row r="87" customHeight="1" spans="1:18">
      <c r="A87" s="10">
        <v>7</v>
      </c>
      <c r="B87" s="11" t="s">
        <v>172</v>
      </c>
      <c r="C87" s="17" t="s">
        <v>71</v>
      </c>
      <c r="D87" s="10" t="s">
        <v>69</v>
      </c>
      <c r="E87" s="85">
        <v>468828.166666667</v>
      </c>
      <c r="F87" s="189" t="s">
        <v>170</v>
      </c>
      <c r="G87" s="85">
        <v>482662.666666667</v>
      </c>
      <c r="H87" s="220">
        <f t="shared" si="21"/>
        <v>13834.5</v>
      </c>
      <c r="I87" s="85">
        <v>37506.2533333334</v>
      </c>
      <c r="J87" s="85">
        <f t="shared" si="22"/>
        <v>38613.0133333334</v>
      </c>
      <c r="K87" s="85">
        <f t="shared" si="23"/>
        <v>1106.75999999996</v>
      </c>
      <c r="L87" s="85">
        <f t="shared" si="15"/>
        <v>463356.16</v>
      </c>
      <c r="M87" s="189" t="s">
        <v>170</v>
      </c>
      <c r="N87" s="909">
        <v>302878.666666667</v>
      </c>
      <c r="O87" s="909"/>
      <c r="P87" s="85"/>
      <c r="Q87" s="909">
        <f t="shared" si="18"/>
        <v>0</v>
      </c>
      <c r="R87" s="909">
        <f t="shared" si="19"/>
        <v>0</v>
      </c>
    </row>
    <row r="88" customHeight="1" spans="1:18">
      <c r="A88" s="10">
        <v>8</v>
      </c>
      <c r="B88" s="11" t="s">
        <v>173</v>
      </c>
      <c r="C88" s="4" t="s">
        <v>174</v>
      </c>
      <c r="D88" s="15" t="s">
        <v>66</v>
      </c>
      <c r="E88" s="85">
        <v>482846.583333333</v>
      </c>
      <c r="F88" s="189" t="s">
        <v>66</v>
      </c>
      <c r="G88" s="85">
        <v>482846.583333333</v>
      </c>
      <c r="H88" s="220">
        <f t="shared" si="21"/>
        <v>0</v>
      </c>
      <c r="I88" s="85">
        <v>38627.7266666667</v>
      </c>
      <c r="J88" s="85">
        <f t="shared" si="22"/>
        <v>38627.7266666666</v>
      </c>
      <c r="K88" s="85">
        <f t="shared" si="23"/>
        <v>-5.82076609134674e-11</v>
      </c>
      <c r="L88" s="85">
        <f t="shared" si="15"/>
        <v>463532.72</v>
      </c>
      <c r="M88" s="189" t="s">
        <v>66</v>
      </c>
      <c r="N88" s="909">
        <v>302987.416666667</v>
      </c>
      <c r="O88" s="909"/>
      <c r="P88" s="85"/>
      <c r="Q88" s="909">
        <f t="shared" si="18"/>
        <v>0</v>
      </c>
      <c r="R88" s="909">
        <f t="shared" si="19"/>
        <v>0</v>
      </c>
    </row>
    <row r="89" s="1" customFormat="1" customHeight="1" spans="1:18">
      <c r="A89" s="10">
        <v>9</v>
      </c>
      <c r="B89" s="14" t="s">
        <v>175</v>
      </c>
      <c r="C89" s="17" t="s">
        <v>176</v>
      </c>
      <c r="D89" s="10" t="s">
        <v>504</v>
      </c>
      <c r="E89" s="85">
        <v>441159</v>
      </c>
      <c r="F89" s="189" t="s">
        <v>131</v>
      </c>
      <c r="G89" s="85">
        <v>454993.583333333</v>
      </c>
      <c r="H89" s="220">
        <f t="shared" si="21"/>
        <v>13834.583333333</v>
      </c>
      <c r="I89" s="85">
        <v>35292.72</v>
      </c>
      <c r="J89" s="85">
        <f t="shared" si="22"/>
        <v>36399.4866666666</v>
      </c>
      <c r="K89" s="85">
        <f t="shared" si="23"/>
        <v>1106.76666666664</v>
      </c>
      <c r="L89" s="85">
        <f t="shared" si="15"/>
        <v>436793.84</v>
      </c>
      <c r="M89" s="189" t="s">
        <v>131</v>
      </c>
      <c r="N89" s="909">
        <v>286447.083333333</v>
      </c>
      <c r="O89" s="909">
        <f>N89*0.025</f>
        <v>7161.17708333333</v>
      </c>
      <c r="P89" s="85">
        <v>6955.78125</v>
      </c>
      <c r="Q89" s="909">
        <f t="shared" si="18"/>
        <v>205.395833333326</v>
      </c>
      <c r="R89" s="909">
        <f t="shared" si="19"/>
        <v>85934.1249999999</v>
      </c>
    </row>
    <row r="90" ht="21.6" customHeight="1" spans="1:18">
      <c r="A90" s="10">
        <v>10</v>
      </c>
      <c r="B90" s="11" t="s">
        <v>177</v>
      </c>
      <c r="C90" s="4" t="s">
        <v>150</v>
      </c>
      <c r="D90" s="10" t="s">
        <v>77</v>
      </c>
      <c r="E90" s="220">
        <v>390135.833333334</v>
      </c>
      <c r="F90" s="189" t="s">
        <v>151</v>
      </c>
      <c r="G90" s="85">
        <v>399131.166666667</v>
      </c>
      <c r="H90" s="220">
        <f t="shared" si="21"/>
        <v>8995.33333333296</v>
      </c>
      <c r="I90" s="85">
        <v>31210.8666666667</v>
      </c>
      <c r="J90" s="85">
        <f t="shared" si="22"/>
        <v>31930.4933333334</v>
      </c>
      <c r="K90" s="85">
        <f t="shared" si="23"/>
        <v>719.626666666656</v>
      </c>
      <c r="L90" s="85">
        <f t="shared" si="15"/>
        <v>383165.92</v>
      </c>
      <c r="M90" s="189" t="s">
        <v>151</v>
      </c>
      <c r="N90" s="909">
        <v>251467.916666667</v>
      </c>
      <c r="O90" s="909">
        <f>N90*0.025</f>
        <v>6286.69791666668</v>
      </c>
      <c r="P90" s="916">
        <v>6154.27916666668</v>
      </c>
      <c r="Q90" s="909">
        <f t="shared" si="18"/>
        <v>132.418749999995</v>
      </c>
      <c r="R90" s="909">
        <f t="shared" si="19"/>
        <v>75440.3750000001</v>
      </c>
    </row>
    <row r="91" s="1" customFormat="1" ht="18.75" customHeight="1" spans="1:18">
      <c r="A91" s="10">
        <v>11</v>
      </c>
      <c r="B91" s="18" t="s">
        <v>178</v>
      </c>
      <c r="C91" s="4" t="s">
        <v>179</v>
      </c>
      <c r="D91" s="10" t="s">
        <v>344</v>
      </c>
      <c r="E91" s="85">
        <v>330407.083333333</v>
      </c>
      <c r="F91" s="189" t="s">
        <v>99</v>
      </c>
      <c r="G91" s="85">
        <v>338711.666666667</v>
      </c>
      <c r="H91" s="220">
        <f t="shared" si="21"/>
        <v>8304.58333333395</v>
      </c>
      <c r="I91" s="85">
        <v>26432.5666666667</v>
      </c>
      <c r="J91" s="85">
        <f t="shared" si="22"/>
        <v>27096.9333333334</v>
      </c>
      <c r="K91" s="85">
        <f t="shared" si="23"/>
        <v>664.366666666661</v>
      </c>
      <c r="L91" s="85">
        <f t="shared" si="15"/>
        <v>325163.2</v>
      </c>
      <c r="M91" s="189" t="s">
        <v>99</v>
      </c>
      <c r="N91" s="909">
        <v>217733.416666667</v>
      </c>
      <c r="O91" s="909"/>
      <c r="P91" s="85"/>
      <c r="Q91" s="909">
        <f t="shared" si="18"/>
        <v>0</v>
      </c>
      <c r="R91" s="909">
        <f t="shared" si="19"/>
        <v>0</v>
      </c>
    </row>
    <row r="92" ht="27" customHeight="1" spans="1:18">
      <c r="A92" s="10"/>
      <c r="B92" s="20" t="s">
        <v>120</v>
      </c>
      <c r="C92" s="21">
        <v>11</v>
      </c>
      <c r="D92" s="21"/>
      <c r="E92" s="93">
        <f t="shared" ref="E92:L92" si="24">SUM(E81:E91)</f>
        <v>5480198.16666667</v>
      </c>
      <c r="F92" s="93"/>
      <c r="G92" s="93">
        <f t="shared" si="24"/>
        <v>5597834.33333333</v>
      </c>
      <c r="H92" s="93">
        <f t="shared" si="24"/>
        <v>117636.166666668</v>
      </c>
      <c r="I92" s="93">
        <f t="shared" si="24"/>
        <v>438415.853333334</v>
      </c>
      <c r="J92" s="93">
        <f t="shared" si="24"/>
        <v>447826.746666667</v>
      </c>
      <c r="K92" s="93">
        <f t="shared" si="24"/>
        <v>9410.89333333309</v>
      </c>
      <c r="L92" s="93">
        <f t="shared" ref="L92:R92" si="25">SUM(L81:L91)</f>
        <v>5373920.96</v>
      </c>
      <c r="M92" s="93">
        <f t="shared" si="25"/>
        <v>0</v>
      </c>
      <c r="N92" s="93">
        <f t="shared" si="25"/>
        <v>3502354.5</v>
      </c>
      <c r="O92" s="93">
        <f t="shared" si="25"/>
        <v>50470.2416666667</v>
      </c>
      <c r="P92" s="93">
        <f t="shared" si="25"/>
        <v>49492.7479166667</v>
      </c>
      <c r="Q92" s="93">
        <f t="shared" si="25"/>
        <v>977.493749999997</v>
      </c>
      <c r="R92" s="93">
        <f t="shared" si="25"/>
        <v>605642.9</v>
      </c>
    </row>
    <row r="93" customHeight="1" spans="1:18">
      <c r="A93" s="10"/>
      <c r="B93" s="22"/>
      <c r="C93" s="21"/>
      <c r="D93" s="21"/>
      <c r="E93" s="146"/>
      <c r="F93" s="146"/>
      <c r="G93" s="146"/>
      <c r="H93" s="220"/>
      <c r="I93" s="146"/>
      <c r="J93" s="146"/>
      <c r="K93" s="146"/>
      <c r="L93" s="85"/>
      <c r="M93" s="146"/>
      <c r="N93" s="146"/>
      <c r="O93" s="909"/>
      <c r="P93" s="146"/>
      <c r="Q93" s="909"/>
      <c r="R93" s="909"/>
    </row>
    <row r="94" customHeight="1" spans="1:18">
      <c r="A94" s="10"/>
      <c r="B94" s="20" t="s">
        <v>180</v>
      </c>
      <c r="C94" s="21"/>
      <c r="D94" s="21"/>
      <c r="E94" s="146"/>
      <c r="F94" s="146"/>
      <c r="G94" s="146"/>
      <c r="H94" s="220"/>
      <c r="I94" s="146"/>
      <c r="J94" s="146"/>
      <c r="K94" s="146"/>
      <c r="L94" s="85"/>
      <c r="M94" s="146"/>
      <c r="N94" s="146"/>
      <c r="O94" s="909"/>
      <c r="P94" s="146"/>
      <c r="Q94" s="909"/>
      <c r="R94" s="909"/>
    </row>
    <row r="95" customHeight="1" spans="1:18">
      <c r="A95" s="10">
        <v>1</v>
      </c>
      <c r="B95" s="11" t="s">
        <v>181</v>
      </c>
      <c r="C95" s="4" t="s">
        <v>182</v>
      </c>
      <c r="D95" s="10" t="s">
        <v>124</v>
      </c>
      <c r="E95" s="85">
        <v>1747106.41666666</v>
      </c>
      <c r="F95" s="10" t="s">
        <v>124</v>
      </c>
      <c r="G95" s="85">
        <v>1747106.41666666</v>
      </c>
      <c r="H95" s="220">
        <f>G95-E95</f>
        <v>0</v>
      </c>
      <c r="I95" s="85">
        <v>139768.513333333</v>
      </c>
      <c r="J95" s="85">
        <f>G95*0.08</f>
        <v>139768.513333333</v>
      </c>
      <c r="K95" s="85">
        <f>J95-I95</f>
        <v>0</v>
      </c>
      <c r="L95" s="85">
        <f t="shared" si="15"/>
        <v>1677222.15999999</v>
      </c>
      <c r="M95" s="10" t="s">
        <v>124</v>
      </c>
      <c r="N95" s="909">
        <v>1086777.08333333</v>
      </c>
      <c r="O95" s="909"/>
      <c r="P95" s="85">
        <v>0</v>
      </c>
      <c r="Q95" s="909">
        <f t="shared" si="18"/>
        <v>0</v>
      </c>
      <c r="R95" s="909">
        <f t="shared" si="19"/>
        <v>0</v>
      </c>
    </row>
    <row r="96" customHeight="1" spans="1:18">
      <c r="A96" s="10">
        <v>2</v>
      </c>
      <c r="B96" s="11" t="s">
        <v>183</v>
      </c>
      <c r="C96" s="4" t="s">
        <v>184</v>
      </c>
      <c r="D96" s="10" t="s">
        <v>41</v>
      </c>
      <c r="E96" s="85">
        <v>722595.5</v>
      </c>
      <c r="F96" s="10" t="s">
        <v>49</v>
      </c>
      <c r="G96" s="85">
        <v>722595.5</v>
      </c>
      <c r="H96" s="220">
        <f t="shared" ref="H96:H105" si="26">G96-E96</f>
        <v>0</v>
      </c>
      <c r="I96" s="85">
        <v>57807.64</v>
      </c>
      <c r="J96" s="85">
        <f t="shared" ref="J96:J105" si="27">G96*0.08</f>
        <v>57807.64</v>
      </c>
      <c r="K96" s="85">
        <f t="shared" ref="K96:K105" si="28">J96-I96</f>
        <v>0</v>
      </c>
      <c r="L96" s="85">
        <f t="shared" si="15"/>
        <v>693691.68</v>
      </c>
      <c r="M96" s="10" t="s">
        <v>49</v>
      </c>
      <c r="N96" s="909">
        <v>445995.833333333</v>
      </c>
      <c r="O96" s="909"/>
      <c r="P96" s="85"/>
      <c r="Q96" s="909">
        <f t="shared" si="18"/>
        <v>0</v>
      </c>
      <c r="R96" s="909">
        <f t="shared" si="19"/>
        <v>0</v>
      </c>
    </row>
    <row r="97" customHeight="1" spans="1:18">
      <c r="A97" s="10">
        <v>3</v>
      </c>
      <c r="B97" s="11" t="s">
        <v>185</v>
      </c>
      <c r="C97" s="4" t="s">
        <v>186</v>
      </c>
      <c r="D97" s="10" t="s">
        <v>41</v>
      </c>
      <c r="E97" s="85">
        <v>722595.5</v>
      </c>
      <c r="F97" s="10" t="s">
        <v>49</v>
      </c>
      <c r="G97" s="85">
        <v>722595.5</v>
      </c>
      <c r="H97" s="220">
        <f t="shared" si="26"/>
        <v>0</v>
      </c>
      <c r="I97" s="85">
        <v>57807.64</v>
      </c>
      <c r="J97" s="85">
        <f t="shared" si="27"/>
        <v>57807.64</v>
      </c>
      <c r="K97" s="85">
        <f t="shared" si="28"/>
        <v>0</v>
      </c>
      <c r="L97" s="85">
        <f t="shared" si="15"/>
        <v>693691.68</v>
      </c>
      <c r="M97" s="10" t="s">
        <v>49</v>
      </c>
      <c r="N97" s="909">
        <v>445995.833333333</v>
      </c>
      <c r="O97" s="909"/>
      <c r="P97" s="85"/>
      <c r="Q97" s="909">
        <f t="shared" si="18"/>
        <v>0</v>
      </c>
      <c r="R97" s="909">
        <f t="shared" si="19"/>
        <v>0</v>
      </c>
    </row>
    <row r="98" customHeight="1" spans="1:18">
      <c r="A98" s="10">
        <v>4</v>
      </c>
      <c r="B98" s="11" t="s">
        <v>187</v>
      </c>
      <c r="C98" s="4" t="s">
        <v>188</v>
      </c>
      <c r="D98" s="15" t="s">
        <v>46</v>
      </c>
      <c r="E98" s="85">
        <v>573911.083333334</v>
      </c>
      <c r="F98" s="15" t="s">
        <v>189</v>
      </c>
      <c r="G98" s="85">
        <f>'[21]Peculiar Allowance'!$L$42+'[21] FGN 2024 MGT Monthly'!$L$42</f>
        <v>589657</v>
      </c>
      <c r="H98" s="220">
        <f t="shared" si="26"/>
        <v>15745.916666666</v>
      </c>
      <c r="I98" s="85">
        <v>45912.8866666667</v>
      </c>
      <c r="J98" s="85">
        <f t="shared" si="27"/>
        <v>47172.56</v>
      </c>
      <c r="K98" s="85">
        <f t="shared" si="28"/>
        <v>1259.6733333333</v>
      </c>
      <c r="L98" s="85">
        <f t="shared" si="15"/>
        <v>566070.72</v>
      </c>
      <c r="M98" s="15" t="s">
        <v>189</v>
      </c>
      <c r="N98" s="909">
        <v>366417.5</v>
      </c>
      <c r="O98" s="909">
        <f>N98*0.025</f>
        <v>9160.4375</v>
      </c>
      <c r="P98" s="85">
        <v>8926.66666666668</v>
      </c>
      <c r="Q98" s="909">
        <f t="shared" si="18"/>
        <v>233.770833333319</v>
      </c>
      <c r="R98" s="909">
        <f t="shared" si="19"/>
        <v>109925.25</v>
      </c>
    </row>
    <row r="99" customHeight="1" spans="1:18">
      <c r="A99" s="10">
        <v>5</v>
      </c>
      <c r="B99" s="11" t="s">
        <v>190</v>
      </c>
      <c r="C99" s="12" t="s">
        <v>191</v>
      </c>
      <c r="D99" s="15" t="s">
        <v>66</v>
      </c>
      <c r="E99" s="85">
        <v>482846.583333334</v>
      </c>
      <c r="F99" s="15" t="s">
        <v>63</v>
      </c>
      <c r="G99" s="85">
        <v>497472.75</v>
      </c>
      <c r="H99" s="220">
        <f t="shared" si="26"/>
        <v>14626.166666666</v>
      </c>
      <c r="I99" s="85">
        <v>38627.7266666667</v>
      </c>
      <c r="J99" s="85">
        <f t="shared" si="27"/>
        <v>39797.82</v>
      </c>
      <c r="K99" s="85">
        <f t="shared" si="28"/>
        <v>1170.0933333333</v>
      </c>
      <c r="L99" s="85">
        <f t="shared" si="15"/>
        <v>477573.84</v>
      </c>
      <c r="M99" s="15" t="s">
        <v>63</v>
      </c>
      <c r="N99" s="909">
        <v>311673.25</v>
      </c>
      <c r="O99" s="909">
        <f>N99*0.025</f>
        <v>7791.83125</v>
      </c>
      <c r="P99" s="85">
        <v>7574.68541666667</v>
      </c>
      <c r="Q99" s="909">
        <f t="shared" si="18"/>
        <v>217.14583333333</v>
      </c>
      <c r="R99" s="909">
        <f t="shared" si="19"/>
        <v>93501.975</v>
      </c>
    </row>
    <row r="100" s="1" customFormat="1" customHeight="1" spans="1:18">
      <c r="A100" s="10">
        <v>6</v>
      </c>
      <c r="B100" s="11" t="s">
        <v>192</v>
      </c>
      <c r="C100" s="4" t="s">
        <v>193</v>
      </c>
      <c r="D100" s="15" t="s">
        <v>66</v>
      </c>
      <c r="E100" s="85">
        <v>482846.583333333</v>
      </c>
      <c r="F100" s="15" t="s">
        <v>63</v>
      </c>
      <c r="G100" s="85">
        <v>497472.75</v>
      </c>
      <c r="H100" s="220">
        <f t="shared" si="26"/>
        <v>14626.166666667</v>
      </c>
      <c r="I100" s="85">
        <v>38627.7266666667</v>
      </c>
      <c r="J100" s="85">
        <f t="shared" si="27"/>
        <v>39797.82</v>
      </c>
      <c r="K100" s="85">
        <f t="shared" si="28"/>
        <v>1170.0933333333</v>
      </c>
      <c r="L100" s="85">
        <f t="shared" si="15"/>
        <v>477573.84</v>
      </c>
      <c r="M100" s="15" t="s">
        <v>63</v>
      </c>
      <c r="N100" s="909">
        <v>311673.25</v>
      </c>
      <c r="O100" s="909"/>
      <c r="P100" s="85"/>
      <c r="Q100" s="909">
        <f t="shared" si="18"/>
        <v>0</v>
      </c>
      <c r="R100" s="909">
        <f t="shared" si="19"/>
        <v>0</v>
      </c>
    </row>
    <row r="101" customHeight="1" spans="1:18">
      <c r="A101" s="10">
        <v>7</v>
      </c>
      <c r="B101" s="11" t="s">
        <v>194</v>
      </c>
      <c r="C101" s="4" t="s">
        <v>195</v>
      </c>
      <c r="D101" s="10" t="s">
        <v>131</v>
      </c>
      <c r="E101" s="85">
        <v>454993.583333333</v>
      </c>
      <c r="F101" s="10" t="s">
        <v>69</v>
      </c>
      <c r="G101" s="85">
        <v>468828.166666667</v>
      </c>
      <c r="H101" s="220">
        <f t="shared" si="26"/>
        <v>13834.583333334</v>
      </c>
      <c r="I101" s="85">
        <v>36399.4866666666</v>
      </c>
      <c r="J101" s="85">
        <f t="shared" si="27"/>
        <v>37506.2533333334</v>
      </c>
      <c r="K101" s="85">
        <f t="shared" si="28"/>
        <v>1106.76666666676</v>
      </c>
      <c r="L101" s="85">
        <f t="shared" si="15"/>
        <v>450075.04</v>
      </c>
      <c r="M101" s="10" t="s">
        <v>69</v>
      </c>
      <c r="N101" s="909">
        <v>294662.916666667</v>
      </c>
      <c r="O101" s="909">
        <f>N101*0.025</f>
        <v>7366.57291666668</v>
      </c>
      <c r="P101" s="85">
        <v>7161.17708333333</v>
      </c>
      <c r="Q101" s="909">
        <f t="shared" si="18"/>
        <v>205.395833333345</v>
      </c>
      <c r="R101" s="909">
        <f t="shared" si="19"/>
        <v>88398.8750000001</v>
      </c>
    </row>
    <row r="102" s="1" customFormat="1" customHeight="1" spans="1:18">
      <c r="A102" s="10">
        <v>8</v>
      </c>
      <c r="B102" s="11" t="s">
        <v>196</v>
      </c>
      <c r="C102" s="4" t="s">
        <v>197</v>
      </c>
      <c r="D102" s="10" t="s">
        <v>80</v>
      </c>
      <c r="E102" s="85">
        <v>372145.333333333</v>
      </c>
      <c r="F102" s="10" t="s">
        <v>74</v>
      </c>
      <c r="G102" s="85">
        <v>381140.666666666</v>
      </c>
      <c r="H102" s="220">
        <f t="shared" si="26"/>
        <v>8995.33333333296</v>
      </c>
      <c r="I102" s="85">
        <v>29771.6266666667</v>
      </c>
      <c r="J102" s="85">
        <f t="shared" si="27"/>
        <v>30491.2533333333</v>
      </c>
      <c r="K102" s="85">
        <f t="shared" si="28"/>
        <v>719.62666666658</v>
      </c>
      <c r="L102" s="85">
        <f t="shared" si="15"/>
        <v>365895.039999999</v>
      </c>
      <c r="M102" s="10" t="s">
        <v>74</v>
      </c>
      <c r="N102" s="909">
        <v>240874.583333333</v>
      </c>
      <c r="O102" s="909"/>
      <c r="P102" s="85"/>
      <c r="Q102" s="909">
        <f t="shared" si="18"/>
        <v>0</v>
      </c>
      <c r="R102" s="909">
        <f t="shared" si="19"/>
        <v>0</v>
      </c>
    </row>
    <row r="103" customHeight="1" spans="1:18">
      <c r="A103" s="10">
        <v>9</v>
      </c>
      <c r="B103" s="11" t="s">
        <v>198</v>
      </c>
      <c r="C103" s="4" t="s">
        <v>179</v>
      </c>
      <c r="D103" s="10" t="s">
        <v>99</v>
      </c>
      <c r="E103" s="85">
        <v>347016.166666666</v>
      </c>
      <c r="F103" s="10" t="s">
        <v>88</v>
      </c>
      <c r="G103" s="85">
        <v>347016.166666666</v>
      </c>
      <c r="H103" s="220">
        <f t="shared" si="26"/>
        <v>0</v>
      </c>
      <c r="I103" s="85">
        <v>27761.2933333333</v>
      </c>
      <c r="J103" s="85">
        <f t="shared" si="27"/>
        <v>27761.2933333333</v>
      </c>
      <c r="K103" s="85">
        <f t="shared" si="28"/>
        <v>0</v>
      </c>
      <c r="L103" s="85">
        <f t="shared" si="15"/>
        <v>333135.519999999</v>
      </c>
      <c r="M103" s="10" t="s">
        <v>88</v>
      </c>
      <c r="N103" s="909">
        <v>222674.583333333</v>
      </c>
      <c r="O103" s="909">
        <f>N103*0.025</f>
        <v>5566.86458333332</v>
      </c>
      <c r="P103" s="85">
        <v>5566.86458333332</v>
      </c>
      <c r="Q103" s="909">
        <f t="shared" si="18"/>
        <v>0</v>
      </c>
      <c r="R103" s="909">
        <f t="shared" si="19"/>
        <v>66802.3749999999</v>
      </c>
    </row>
    <row r="104" s="1" customFormat="1" ht="18.75" customHeight="1" spans="1:18">
      <c r="A104" s="10">
        <v>10</v>
      </c>
      <c r="B104" s="18" t="s">
        <v>199</v>
      </c>
      <c r="C104" s="4" t="s">
        <v>179</v>
      </c>
      <c r="D104" s="10" t="s">
        <v>344</v>
      </c>
      <c r="E104" s="85">
        <v>330407.083333333</v>
      </c>
      <c r="F104" s="10" t="s">
        <v>99</v>
      </c>
      <c r="G104" s="85">
        <v>338711.666666667</v>
      </c>
      <c r="H104" s="220">
        <f t="shared" si="26"/>
        <v>8304.58333333395</v>
      </c>
      <c r="I104" s="85">
        <v>26432.5666666667</v>
      </c>
      <c r="J104" s="85">
        <f t="shared" si="27"/>
        <v>27096.9333333334</v>
      </c>
      <c r="K104" s="85">
        <f t="shared" si="28"/>
        <v>664.366666666661</v>
      </c>
      <c r="L104" s="85">
        <f t="shared" si="15"/>
        <v>325163.2</v>
      </c>
      <c r="M104" s="10" t="s">
        <v>99</v>
      </c>
      <c r="N104" s="909">
        <v>217733.416666667</v>
      </c>
      <c r="O104" s="909"/>
      <c r="P104" s="85"/>
      <c r="Q104" s="909">
        <f t="shared" si="18"/>
        <v>0</v>
      </c>
      <c r="R104" s="909">
        <f t="shared" si="19"/>
        <v>0</v>
      </c>
    </row>
    <row r="105" customHeight="1" spans="1:18">
      <c r="A105" s="10">
        <v>11</v>
      </c>
      <c r="B105" s="11" t="s">
        <v>200</v>
      </c>
      <c r="C105" s="4" t="s">
        <v>201</v>
      </c>
      <c r="D105" s="10" t="s">
        <v>108</v>
      </c>
      <c r="E105" s="85">
        <v>301910.75</v>
      </c>
      <c r="F105" s="10" t="s">
        <v>105</v>
      </c>
      <c r="G105" s="85">
        <v>308920.666666667</v>
      </c>
      <c r="H105" s="220">
        <f t="shared" si="26"/>
        <v>7009.91666666698</v>
      </c>
      <c r="I105" s="85">
        <v>24152.86</v>
      </c>
      <c r="J105" s="85">
        <f t="shared" si="27"/>
        <v>24713.6533333334</v>
      </c>
      <c r="K105" s="85">
        <f t="shared" si="28"/>
        <v>560.793333333357</v>
      </c>
      <c r="L105" s="85">
        <f t="shared" si="15"/>
        <v>296563.84</v>
      </c>
      <c r="M105" s="10" t="s">
        <v>105</v>
      </c>
      <c r="N105" s="909">
        <v>200549.416666667</v>
      </c>
      <c r="O105" s="909"/>
      <c r="P105" s="85">
        <v>0</v>
      </c>
      <c r="Q105" s="909">
        <f t="shared" si="18"/>
        <v>0</v>
      </c>
      <c r="R105" s="909">
        <f t="shared" si="19"/>
        <v>0</v>
      </c>
    </row>
    <row r="106" customHeight="1" spans="1:18">
      <c r="A106" s="10"/>
      <c r="B106" s="20" t="s">
        <v>120</v>
      </c>
      <c r="C106" s="21">
        <v>11</v>
      </c>
      <c r="D106" s="21"/>
      <c r="E106" s="93">
        <f t="shared" ref="E106:L106" si="29">SUM(E95:E105)</f>
        <v>6538374.58333333</v>
      </c>
      <c r="F106" s="93"/>
      <c r="G106" s="93">
        <f t="shared" si="29"/>
        <v>6621517.24999999</v>
      </c>
      <c r="H106" s="93">
        <f t="shared" si="29"/>
        <v>83142.6666666669</v>
      </c>
      <c r="I106" s="93">
        <f t="shared" si="29"/>
        <v>523069.966666666</v>
      </c>
      <c r="J106" s="93">
        <f t="shared" si="29"/>
        <v>529721.379999999</v>
      </c>
      <c r="K106" s="93">
        <f t="shared" si="29"/>
        <v>6651.41333333325</v>
      </c>
      <c r="L106" s="93">
        <f t="shared" ref="L106:R106" si="30">SUM(L95:L105)</f>
        <v>6356656.55999999</v>
      </c>
      <c r="M106" s="93">
        <f t="shared" si="30"/>
        <v>0</v>
      </c>
      <c r="N106" s="93">
        <f t="shared" si="30"/>
        <v>4145027.66666666</v>
      </c>
      <c r="O106" s="93">
        <f t="shared" si="30"/>
        <v>29885.70625</v>
      </c>
      <c r="P106" s="93">
        <f t="shared" si="30"/>
        <v>29229.39375</v>
      </c>
      <c r="Q106" s="93">
        <f t="shared" si="30"/>
        <v>656.312499999995</v>
      </c>
      <c r="R106" s="93">
        <f t="shared" si="30"/>
        <v>358628.475</v>
      </c>
    </row>
    <row r="107" customHeight="1" spans="1:18">
      <c r="A107" s="10"/>
      <c r="B107" s="20"/>
      <c r="C107" s="21"/>
      <c r="D107" s="21"/>
      <c r="E107" s="146"/>
      <c r="F107" s="146"/>
      <c r="G107" s="146"/>
      <c r="H107" s="220"/>
      <c r="I107" s="146"/>
      <c r="J107" s="146"/>
      <c r="K107" s="146"/>
      <c r="L107" s="85"/>
      <c r="M107" s="146"/>
      <c r="N107" s="146"/>
      <c r="O107" s="909"/>
      <c r="P107" s="146"/>
      <c r="Q107" s="909">
        <f t="shared" si="18"/>
        <v>0</v>
      </c>
      <c r="R107" s="909"/>
    </row>
    <row r="108" customHeight="1" spans="1:18">
      <c r="A108" s="10"/>
      <c r="B108" s="20" t="s">
        <v>202</v>
      </c>
      <c r="C108" s="25"/>
      <c r="D108" s="21"/>
      <c r="E108" s="146"/>
      <c r="F108" s="146"/>
      <c r="G108" s="146"/>
      <c r="H108" s="220"/>
      <c r="I108" s="146"/>
      <c r="J108" s="146"/>
      <c r="K108" s="146"/>
      <c r="L108" s="85"/>
      <c r="M108" s="146"/>
      <c r="N108" s="146"/>
      <c r="O108" s="909"/>
      <c r="P108" s="146"/>
      <c r="Q108" s="909">
        <f t="shared" si="18"/>
        <v>0</v>
      </c>
      <c r="R108" s="909"/>
    </row>
    <row r="109" customHeight="1" spans="1:18">
      <c r="A109" s="10">
        <v>1</v>
      </c>
      <c r="B109" s="11" t="s">
        <v>203</v>
      </c>
      <c r="C109" s="4" t="s">
        <v>204</v>
      </c>
      <c r="D109" s="10" t="s">
        <v>505</v>
      </c>
      <c r="E109" s="85">
        <v>1647612</v>
      </c>
      <c r="F109" s="10" t="s">
        <v>140</v>
      </c>
      <c r="G109" s="85">
        <v>1697359.33333333</v>
      </c>
      <c r="H109" s="220">
        <f>G109-E109</f>
        <v>49747.33333333</v>
      </c>
      <c r="I109" s="85">
        <v>131808.96</v>
      </c>
      <c r="J109" s="85">
        <f>G109*0.08</f>
        <v>135788.746666666</v>
      </c>
      <c r="K109" s="85">
        <f>J109-I109</f>
        <v>3979.78666666642</v>
      </c>
      <c r="L109" s="85">
        <f t="shared" si="15"/>
        <v>1629464.96</v>
      </c>
      <c r="M109" s="10" t="s">
        <v>140</v>
      </c>
      <c r="N109" s="909">
        <v>1056272.83333333</v>
      </c>
      <c r="O109" s="909">
        <f>N109*0.025</f>
        <v>26406.8208333333</v>
      </c>
      <c r="P109" s="85">
        <v>25644.2083333333</v>
      </c>
      <c r="Q109" s="909">
        <f t="shared" si="18"/>
        <v>762.612499999952</v>
      </c>
      <c r="R109" s="909">
        <f t="shared" si="19"/>
        <v>316881.849999999</v>
      </c>
    </row>
    <row r="110" customHeight="1" spans="1:18">
      <c r="A110" s="10">
        <v>2</v>
      </c>
      <c r="B110" s="11" t="s">
        <v>205</v>
      </c>
      <c r="C110" s="4" t="s">
        <v>206</v>
      </c>
      <c r="D110" s="10" t="s">
        <v>506</v>
      </c>
      <c r="E110" s="85">
        <v>852711.083333333</v>
      </c>
      <c r="F110" s="10" t="s">
        <v>207</v>
      </c>
      <c r="G110" s="85">
        <v>879008.916666667</v>
      </c>
      <c r="H110" s="220">
        <f t="shared" ref="H110:H121" si="31">G110-E110</f>
        <v>26297.833333334</v>
      </c>
      <c r="I110" s="85">
        <v>68216.8866666666</v>
      </c>
      <c r="J110" s="85">
        <f t="shared" ref="J110:J121" si="32">G110*0.08</f>
        <v>70320.7133333334</v>
      </c>
      <c r="K110" s="85">
        <f t="shared" ref="K110:K121" si="33">J110-I110</f>
        <v>2103.82666666676</v>
      </c>
      <c r="L110" s="85">
        <f t="shared" si="15"/>
        <v>843848.56</v>
      </c>
      <c r="M110" s="10" t="s">
        <v>207</v>
      </c>
      <c r="N110" s="909">
        <f>'[19] FGN 2024 MGT Monthly'!$I$44</f>
        <v>539028</v>
      </c>
      <c r="O110" s="909"/>
      <c r="P110" s="85"/>
      <c r="Q110" s="909">
        <f t="shared" si="18"/>
        <v>0</v>
      </c>
      <c r="R110" s="909">
        <f t="shared" si="19"/>
        <v>0</v>
      </c>
    </row>
    <row r="111" customHeight="1" spans="1:18">
      <c r="A111" s="10">
        <v>3</v>
      </c>
      <c r="B111" s="11" t="s">
        <v>208</v>
      </c>
      <c r="C111" s="4" t="s">
        <v>142</v>
      </c>
      <c r="D111" s="10" t="s">
        <v>49</v>
      </c>
      <c r="E111" s="85">
        <v>722595.5</v>
      </c>
      <c r="F111" s="10" t="s">
        <v>38</v>
      </c>
      <c r="G111" s="85">
        <v>744477</v>
      </c>
      <c r="H111" s="220">
        <f t="shared" si="31"/>
        <v>21881.5</v>
      </c>
      <c r="I111" s="85">
        <v>57807.64</v>
      </c>
      <c r="J111" s="85">
        <f t="shared" si="32"/>
        <v>59558.16</v>
      </c>
      <c r="K111" s="85">
        <f t="shared" si="33"/>
        <v>1750.52</v>
      </c>
      <c r="L111" s="85">
        <f t="shared" si="15"/>
        <v>714697.92</v>
      </c>
      <c r="M111" s="10" t="s">
        <v>38</v>
      </c>
      <c r="N111" s="909">
        <v>459010.5</v>
      </c>
      <c r="O111" s="909"/>
      <c r="P111" s="85"/>
      <c r="Q111" s="909">
        <f t="shared" si="18"/>
        <v>0</v>
      </c>
      <c r="R111" s="909">
        <f t="shared" si="19"/>
        <v>0</v>
      </c>
    </row>
    <row r="112" ht="21.6" customHeight="1" spans="1:18">
      <c r="A112" s="10">
        <v>4</v>
      </c>
      <c r="B112" s="11" t="s">
        <v>209</v>
      </c>
      <c r="C112" s="4" t="s">
        <v>51</v>
      </c>
      <c r="D112" s="15" t="s">
        <v>212</v>
      </c>
      <c r="E112" s="85">
        <v>558165.25</v>
      </c>
      <c r="F112" s="15" t="s">
        <v>46</v>
      </c>
      <c r="G112" s="85">
        <v>573911.083333334</v>
      </c>
      <c r="H112" s="220">
        <f t="shared" si="31"/>
        <v>15745.833333334</v>
      </c>
      <c r="I112" s="85">
        <v>44653.22</v>
      </c>
      <c r="J112" s="85">
        <f t="shared" si="32"/>
        <v>45912.8866666667</v>
      </c>
      <c r="K112" s="85">
        <f t="shared" si="33"/>
        <v>1259.66666666672</v>
      </c>
      <c r="L112" s="85">
        <f t="shared" si="15"/>
        <v>550954.640000001</v>
      </c>
      <c r="M112" s="15" t="s">
        <v>46</v>
      </c>
      <c r="N112" s="909">
        <v>357066.666666667</v>
      </c>
      <c r="O112" s="909">
        <f>N112*0.025</f>
        <v>8926.66666666668</v>
      </c>
      <c r="P112" s="85">
        <v>8692.92291666667</v>
      </c>
      <c r="Q112" s="909">
        <f t="shared" si="18"/>
        <v>233.743750000005</v>
      </c>
      <c r="R112" s="909">
        <f t="shared" si="19"/>
        <v>107120</v>
      </c>
    </row>
    <row r="113" ht="21.6" customHeight="1" spans="1:18">
      <c r="A113" s="10">
        <v>5</v>
      </c>
      <c r="B113" s="11" t="s">
        <v>210</v>
      </c>
      <c r="C113" s="4" t="s">
        <v>51</v>
      </c>
      <c r="D113" s="15" t="s">
        <v>212</v>
      </c>
      <c r="E113" s="85">
        <v>558166.25</v>
      </c>
      <c r="F113" s="15" t="s">
        <v>46</v>
      </c>
      <c r="G113" s="85">
        <v>573911.083333334</v>
      </c>
      <c r="H113" s="220">
        <f t="shared" si="31"/>
        <v>15744.833333334</v>
      </c>
      <c r="I113" s="85">
        <v>44653.3</v>
      </c>
      <c r="J113" s="85">
        <f t="shared" si="32"/>
        <v>45912.8866666667</v>
      </c>
      <c r="K113" s="85">
        <f t="shared" si="33"/>
        <v>1259.58666666671</v>
      </c>
      <c r="L113" s="85">
        <f t="shared" si="15"/>
        <v>550954.640000001</v>
      </c>
      <c r="M113" s="15" t="s">
        <v>46</v>
      </c>
      <c r="N113" s="909">
        <v>357066.666666667</v>
      </c>
      <c r="O113" s="909">
        <f>N113*0.025</f>
        <v>8926.66666666668</v>
      </c>
      <c r="P113" s="85">
        <v>8692.92291666667</v>
      </c>
      <c r="Q113" s="909">
        <f t="shared" si="18"/>
        <v>233.743750000005</v>
      </c>
      <c r="R113" s="909">
        <f t="shared" si="19"/>
        <v>107120</v>
      </c>
    </row>
    <row r="114" ht="21.6" customHeight="1" spans="1:18">
      <c r="A114" s="10">
        <v>6</v>
      </c>
      <c r="B114" s="11" t="s">
        <v>211</v>
      </c>
      <c r="C114" s="12" t="s">
        <v>51</v>
      </c>
      <c r="D114" s="15" t="s">
        <v>52</v>
      </c>
      <c r="E114" s="85">
        <v>542419.5</v>
      </c>
      <c r="F114" s="15" t="s">
        <v>212</v>
      </c>
      <c r="G114" s="85">
        <v>558166.25</v>
      </c>
      <c r="H114" s="220">
        <f t="shared" si="31"/>
        <v>15746.75</v>
      </c>
      <c r="I114" s="85">
        <v>43393.56</v>
      </c>
      <c r="J114" s="85">
        <f t="shared" si="32"/>
        <v>44653.3</v>
      </c>
      <c r="K114" s="85">
        <f t="shared" si="33"/>
        <v>1259.74000000001</v>
      </c>
      <c r="L114" s="85">
        <f t="shared" si="15"/>
        <v>535839.6</v>
      </c>
      <c r="M114" s="15" t="s">
        <v>212</v>
      </c>
      <c r="N114" s="909">
        <v>347715.916666667</v>
      </c>
      <c r="O114" s="909"/>
      <c r="P114" s="85"/>
      <c r="Q114" s="909">
        <f t="shared" si="18"/>
        <v>0</v>
      </c>
      <c r="R114" s="909">
        <f t="shared" si="19"/>
        <v>0</v>
      </c>
    </row>
    <row r="115" ht="21.6" customHeight="1" spans="1:18">
      <c r="A115" s="10">
        <v>7</v>
      </c>
      <c r="B115" s="11" t="s">
        <v>213</v>
      </c>
      <c r="C115" s="17" t="s">
        <v>71</v>
      </c>
      <c r="D115" s="15" t="s">
        <v>69</v>
      </c>
      <c r="E115" s="85">
        <v>468828.166666667</v>
      </c>
      <c r="F115" s="15" t="s">
        <v>170</v>
      </c>
      <c r="G115" s="85">
        <v>482662.666666667</v>
      </c>
      <c r="H115" s="220">
        <f t="shared" si="31"/>
        <v>13834.5</v>
      </c>
      <c r="I115" s="85">
        <v>37506.2533333334</v>
      </c>
      <c r="J115" s="85">
        <f t="shared" si="32"/>
        <v>38613.0133333334</v>
      </c>
      <c r="K115" s="85">
        <f t="shared" si="33"/>
        <v>1106.75999999996</v>
      </c>
      <c r="L115" s="85">
        <f t="shared" si="15"/>
        <v>463356.16</v>
      </c>
      <c r="M115" s="15" t="s">
        <v>170</v>
      </c>
      <c r="N115" s="909">
        <v>302878.666666667</v>
      </c>
      <c r="O115" s="909"/>
      <c r="P115" s="85"/>
      <c r="Q115" s="909">
        <f t="shared" si="18"/>
        <v>0</v>
      </c>
      <c r="R115" s="909">
        <f t="shared" si="19"/>
        <v>0</v>
      </c>
    </row>
    <row r="116" ht="21.6" customHeight="1" spans="1:18">
      <c r="A116" s="10">
        <v>8</v>
      </c>
      <c r="B116" s="11" t="s">
        <v>214</v>
      </c>
      <c r="C116" s="17" t="s">
        <v>167</v>
      </c>
      <c r="D116" s="15" t="s">
        <v>63</v>
      </c>
      <c r="E116" s="85">
        <v>497472.75</v>
      </c>
      <c r="F116" s="15" t="s">
        <v>215</v>
      </c>
      <c r="G116" s="85">
        <f>'[21] FGN 2024 MGT Monthly'!$J$41+'[21]Peculiar Allowance'!$J$41</f>
        <v>512098.916666667</v>
      </c>
      <c r="H116" s="220">
        <f t="shared" si="31"/>
        <v>14626.1666666666</v>
      </c>
      <c r="I116" s="85">
        <v>39797.82</v>
      </c>
      <c r="J116" s="85">
        <f t="shared" si="32"/>
        <v>40967.9133333333</v>
      </c>
      <c r="K116" s="85">
        <f t="shared" si="33"/>
        <v>1170.09333333333</v>
      </c>
      <c r="L116" s="85">
        <f t="shared" si="15"/>
        <v>491614.96</v>
      </c>
      <c r="M116" s="15" t="s">
        <v>215</v>
      </c>
      <c r="N116" s="85">
        <f>'[21] FGN 2024 MGT Monthly'!$J$41</f>
        <v>320359.083333333</v>
      </c>
      <c r="O116" s="909">
        <f>N116*0.025</f>
        <v>8008.97708333333</v>
      </c>
      <c r="P116" s="85">
        <v>7791.83125</v>
      </c>
      <c r="Q116" s="909">
        <f t="shared" si="18"/>
        <v>217.145833333333</v>
      </c>
      <c r="R116" s="909">
        <f t="shared" si="19"/>
        <v>96107.725</v>
      </c>
    </row>
    <row r="117" s="1" customFormat="1" customHeight="1" spans="1:18">
      <c r="A117" s="10">
        <v>9</v>
      </c>
      <c r="B117" s="18" t="s">
        <v>216</v>
      </c>
      <c r="C117" s="4" t="s">
        <v>148</v>
      </c>
      <c r="D117" s="15" t="s">
        <v>504</v>
      </c>
      <c r="E117" s="220">
        <v>441159</v>
      </c>
      <c r="F117" s="15" t="s">
        <v>131</v>
      </c>
      <c r="G117" s="85">
        <v>454993.583333333</v>
      </c>
      <c r="H117" s="220">
        <f t="shared" si="31"/>
        <v>13834.583333333</v>
      </c>
      <c r="I117" s="85">
        <v>35292.72</v>
      </c>
      <c r="J117" s="85">
        <f t="shared" si="32"/>
        <v>36399.4866666666</v>
      </c>
      <c r="K117" s="85">
        <f t="shared" si="33"/>
        <v>1106.76666666664</v>
      </c>
      <c r="L117" s="85">
        <f t="shared" si="15"/>
        <v>436793.84</v>
      </c>
      <c r="M117" s="15" t="s">
        <v>131</v>
      </c>
      <c r="N117" s="909">
        <v>286447.083333333</v>
      </c>
      <c r="O117" s="909"/>
      <c r="P117" s="85"/>
      <c r="Q117" s="909">
        <f t="shared" si="18"/>
        <v>0</v>
      </c>
      <c r="R117" s="909">
        <f t="shared" si="19"/>
        <v>0</v>
      </c>
    </row>
    <row r="118" ht="21.6" customHeight="1" spans="1:18">
      <c r="A118" s="10">
        <v>10</v>
      </c>
      <c r="B118" s="11" t="s">
        <v>217</v>
      </c>
      <c r="C118" s="4" t="s">
        <v>218</v>
      </c>
      <c r="D118" s="10" t="s">
        <v>77</v>
      </c>
      <c r="E118" s="220">
        <v>390135.833333334</v>
      </c>
      <c r="F118" s="10" t="s">
        <v>151</v>
      </c>
      <c r="G118" s="85">
        <v>399131.166666667</v>
      </c>
      <c r="H118" s="220">
        <f t="shared" si="31"/>
        <v>8995.33333333296</v>
      </c>
      <c r="I118" s="85">
        <v>31210.8666666667</v>
      </c>
      <c r="J118" s="85">
        <f t="shared" si="32"/>
        <v>31930.4933333334</v>
      </c>
      <c r="K118" s="85">
        <f t="shared" si="33"/>
        <v>719.626666666656</v>
      </c>
      <c r="L118" s="85">
        <f t="shared" si="15"/>
        <v>383165.92</v>
      </c>
      <c r="M118" s="10" t="s">
        <v>151</v>
      </c>
      <c r="N118" s="909">
        <v>251467.916666667</v>
      </c>
      <c r="O118" s="909"/>
      <c r="P118" s="85"/>
      <c r="Q118" s="909">
        <f t="shared" si="18"/>
        <v>0</v>
      </c>
      <c r="R118" s="909">
        <f t="shared" si="19"/>
        <v>0</v>
      </c>
    </row>
    <row r="119" s="1" customFormat="1" ht="18.75" customHeight="1" spans="1:18">
      <c r="A119" s="10">
        <v>11</v>
      </c>
      <c r="B119" s="18" t="s">
        <v>219</v>
      </c>
      <c r="C119" s="4" t="s">
        <v>150</v>
      </c>
      <c r="D119" s="10" t="s">
        <v>344</v>
      </c>
      <c r="E119" s="85">
        <v>330407.083333333</v>
      </c>
      <c r="F119" s="10" t="s">
        <v>99</v>
      </c>
      <c r="G119" s="85">
        <v>338711.666666667</v>
      </c>
      <c r="H119" s="220">
        <f t="shared" si="31"/>
        <v>8304.58333333395</v>
      </c>
      <c r="I119" s="85">
        <v>26432.5666666667</v>
      </c>
      <c r="J119" s="85">
        <f t="shared" si="32"/>
        <v>27096.9333333334</v>
      </c>
      <c r="K119" s="85">
        <f t="shared" si="33"/>
        <v>664.366666666661</v>
      </c>
      <c r="L119" s="85">
        <f t="shared" si="15"/>
        <v>325163.2</v>
      </c>
      <c r="M119" s="10" t="s">
        <v>99</v>
      </c>
      <c r="N119" s="909">
        <v>217733.416666667</v>
      </c>
      <c r="O119" s="909"/>
      <c r="P119" s="85"/>
      <c r="Q119" s="909">
        <f t="shared" si="18"/>
        <v>0</v>
      </c>
      <c r="R119" s="909">
        <f t="shared" si="19"/>
        <v>0</v>
      </c>
    </row>
    <row r="120" s="1" customFormat="1" ht="18.75" customHeight="1" spans="1:18">
      <c r="A120" s="10">
        <v>12</v>
      </c>
      <c r="B120" s="18" t="s">
        <v>220</v>
      </c>
      <c r="C120" s="4" t="s">
        <v>150</v>
      </c>
      <c r="D120" s="10" t="s">
        <v>344</v>
      </c>
      <c r="E120" s="85">
        <v>330407.083333333</v>
      </c>
      <c r="F120" s="10" t="s">
        <v>99</v>
      </c>
      <c r="G120" s="85">
        <v>338711.666666667</v>
      </c>
      <c r="H120" s="220">
        <f t="shared" si="31"/>
        <v>8304.58333333395</v>
      </c>
      <c r="I120" s="85">
        <v>26432.5666666667</v>
      </c>
      <c r="J120" s="85">
        <f t="shared" si="32"/>
        <v>27096.9333333334</v>
      </c>
      <c r="K120" s="85">
        <f t="shared" si="33"/>
        <v>664.366666666661</v>
      </c>
      <c r="L120" s="85">
        <f t="shared" si="15"/>
        <v>325163.2</v>
      </c>
      <c r="M120" s="10" t="s">
        <v>99</v>
      </c>
      <c r="N120" s="909">
        <v>217733.416666667</v>
      </c>
      <c r="O120" s="909"/>
      <c r="P120" s="85"/>
      <c r="Q120" s="909">
        <f t="shared" si="18"/>
        <v>0</v>
      </c>
      <c r="R120" s="909">
        <f t="shared" si="19"/>
        <v>0</v>
      </c>
    </row>
    <row r="121" ht="21.6" customHeight="1" spans="1:18">
      <c r="A121" s="10">
        <v>13</v>
      </c>
      <c r="B121" s="11" t="s">
        <v>221</v>
      </c>
      <c r="C121" s="17" t="s">
        <v>222</v>
      </c>
      <c r="D121" s="15" t="s">
        <v>105</v>
      </c>
      <c r="E121" s="220">
        <v>308920.666666667</v>
      </c>
      <c r="F121" s="15" t="s">
        <v>223</v>
      </c>
      <c r="G121" s="220">
        <f>'[21] FGN 2024 MGT Monthly'!$L$37+'[21]Peculiar Allowance'!$L$37</f>
        <v>315930.583333333</v>
      </c>
      <c r="H121" s="220">
        <f t="shared" si="31"/>
        <v>7009.91666666634</v>
      </c>
      <c r="I121" s="85">
        <v>24713.6533333334</v>
      </c>
      <c r="J121" s="85">
        <f t="shared" si="32"/>
        <v>25274.4466666667</v>
      </c>
      <c r="K121" s="85">
        <f t="shared" si="33"/>
        <v>560.793333333266</v>
      </c>
      <c r="L121" s="85">
        <f t="shared" si="15"/>
        <v>303293.36</v>
      </c>
      <c r="M121" s="15" t="s">
        <v>223</v>
      </c>
      <c r="N121" s="220">
        <f>'[21] FGN 2024 MGT Monthly'!$L$37</f>
        <v>204734.416666667</v>
      </c>
      <c r="O121" s="909">
        <f>N121*0.025</f>
        <v>5118.36041666667</v>
      </c>
      <c r="P121" s="85">
        <v>5013.73541666668</v>
      </c>
      <c r="Q121" s="909">
        <f t="shared" si="18"/>
        <v>104.624999999986</v>
      </c>
      <c r="R121" s="909">
        <f t="shared" si="19"/>
        <v>61420.325</v>
      </c>
    </row>
    <row r="122" customHeight="1" spans="1:18">
      <c r="A122" s="10"/>
      <c r="B122" s="20" t="s">
        <v>120</v>
      </c>
      <c r="C122" s="21">
        <v>13</v>
      </c>
      <c r="D122" s="21"/>
      <c r="E122" s="93">
        <f t="shared" ref="E122:L122" si="34">SUM(E109:E121)</f>
        <v>7649000.16666667</v>
      </c>
      <c r="F122" s="93"/>
      <c r="G122" s="93">
        <f t="shared" si="34"/>
        <v>7869073.91666667</v>
      </c>
      <c r="H122" s="93">
        <f t="shared" si="34"/>
        <v>220073.749999999</v>
      </c>
      <c r="I122" s="93">
        <f t="shared" si="34"/>
        <v>611920.013333333</v>
      </c>
      <c r="J122" s="93">
        <f t="shared" si="34"/>
        <v>629525.913333333</v>
      </c>
      <c r="K122" s="93">
        <f t="shared" si="34"/>
        <v>17605.8999999998</v>
      </c>
      <c r="L122" s="93">
        <f t="shared" ref="L122:R122" si="35">SUM(L109:L121)</f>
        <v>7554310.96</v>
      </c>
      <c r="M122" s="93">
        <f t="shared" si="35"/>
        <v>0</v>
      </c>
      <c r="N122" s="93">
        <f t="shared" si="35"/>
        <v>4917514.58333333</v>
      </c>
      <c r="O122" s="93">
        <f t="shared" si="35"/>
        <v>57387.4916666666</v>
      </c>
      <c r="P122" s="93">
        <f t="shared" si="35"/>
        <v>55835.6208333333</v>
      </c>
      <c r="Q122" s="93">
        <f t="shared" si="35"/>
        <v>1551.87083333328</v>
      </c>
      <c r="R122" s="93">
        <f t="shared" si="35"/>
        <v>688649.899999999</v>
      </c>
    </row>
    <row r="123" customHeight="1" spans="1:18">
      <c r="A123" s="10"/>
      <c r="B123" s="22"/>
      <c r="C123" s="21"/>
      <c r="D123" s="21"/>
      <c r="E123" s="146"/>
      <c r="F123" s="146"/>
      <c r="G123" s="146"/>
      <c r="H123" s="220"/>
      <c r="I123" s="146"/>
      <c r="J123" s="146"/>
      <c r="K123" s="146"/>
      <c r="L123" s="85"/>
      <c r="M123" s="146"/>
      <c r="N123" s="146"/>
      <c r="O123" s="909"/>
      <c r="P123" s="146"/>
      <c r="Q123" s="909">
        <f t="shared" si="18"/>
        <v>0</v>
      </c>
      <c r="R123" s="909"/>
    </row>
    <row r="124" customHeight="1" spans="1:18">
      <c r="A124" s="10"/>
      <c r="B124" s="20" t="s">
        <v>224</v>
      </c>
      <c r="C124" s="21"/>
      <c r="D124" s="21"/>
      <c r="E124" s="146"/>
      <c r="F124" s="146"/>
      <c r="G124" s="146"/>
      <c r="H124" s="220"/>
      <c r="I124" s="146"/>
      <c r="J124" s="146"/>
      <c r="K124" s="146"/>
      <c r="L124" s="85"/>
      <c r="M124" s="146"/>
      <c r="N124" s="146"/>
      <c r="O124" s="909"/>
      <c r="P124" s="146"/>
      <c r="Q124" s="909">
        <f t="shared" si="18"/>
        <v>0</v>
      </c>
      <c r="R124" s="909"/>
    </row>
    <row r="125" customHeight="1" spans="1:18">
      <c r="A125" s="10">
        <v>1</v>
      </c>
      <c r="B125" s="14" t="s">
        <v>225</v>
      </c>
      <c r="C125" s="4" t="s">
        <v>226</v>
      </c>
      <c r="D125" s="16" t="s">
        <v>140</v>
      </c>
      <c r="E125" s="85">
        <v>1697359.33333333</v>
      </c>
      <c r="F125" s="16" t="s">
        <v>124</v>
      </c>
      <c r="G125" s="85">
        <v>1747106.41666666</v>
      </c>
      <c r="H125" s="220">
        <f>G125-E125</f>
        <v>49747.08333333</v>
      </c>
      <c r="I125" s="85">
        <v>135788.746666666</v>
      </c>
      <c r="J125" s="85">
        <f>G125*0.08</f>
        <v>139768.513333333</v>
      </c>
      <c r="K125" s="85">
        <f>J125-I125</f>
        <v>3979.76666666681</v>
      </c>
      <c r="L125" s="85">
        <f t="shared" si="15"/>
        <v>1677222.15999999</v>
      </c>
      <c r="M125" s="16" t="s">
        <v>124</v>
      </c>
      <c r="N125" s="909">
        <v>1086777.08333333</v>
      </c>
      <c r="O125" s="909">
        <f>N125*0.025</f>
        <v>27169.4270833333</v>
      </c>
      <c r="P125" s="85">
        <v>26406.8208333333</v>
      </c>
      <c r="Q125" s="909">
        <f t="shared" si="18"/>
        <v>762.606249999953</v>
      </c>
      <c r="R125" s="909">
        <f t="shared" si="19"/>
        <v>326033.124999999</v>
      </c>
    </row>
    <row r="126" customHeight="1" spans="1:18">
      <c r="A126" s="10">
        <v>2</v>
      </c>
      <c r="B126" s="11" t="s">
        <v>227</v>
      </c>
      <c r="C126" s="4" t="s">
        <v>228</v>
      </c>
      <c r="D126" s="15" t="s">
        <v>46</v>
      </c>
      <c r="E126" s="85">
        <v>573911.083333334</v>
      </c>
      <c r="F126" s="15" t="s">
        <v>189</v>
      </c>
      <c r="G126" s="85">
        <v>589657</v>
      </c>
      <c r="H126" s="220">
        <f t="shared" ref="H126:H132" si="36">G126-E126</f>
        <v>15745.916666666</v>
      </c>
      <c r="I126" s="85">
        <v>45912.8866666667</v>
      </c>
      <c r="J126" s="85">
        <f t="shared" ref="J126:J131" si="37">G126*0.08</f>
        <v>47172.56</v>
      </c>
      <c r="K126" s="85">
        <f t="shared" ref="K126:K131" si="38">J126-I126</f>
        <v>1259.6733333333</v>
      </c>
      <c r="L126" s="85">
        <f t="shared" si="15"/>
        <v>566070.72</v>
      </c>
      <c r="M126" s="15" t="s">
        <v>189</v>
      </c>
      <c r="N126" s="909">
        <v>366417.5</v>
      </c>
      <c r="O126" s="909"/>
      <c r="P126" s="85"/>
      <c r="Q126" s="909">
        <f t="shared" si="18"/>
        <v>0</v>
      </c>
      <c r="R126" s="909">
        <f t="shared" si="19"/>
        <v>0</v>
      </c>
    </row>
    <row r="127" customHeight="1" spans="1:18">
      <c r="A127" s="10">
        <v>3</v>
      </c>
      <c r="B127" s="11" t="s">
        <v>229</v>
      </c>
      <c r="C127" s="12" t="s">
        <v>230</v>
      </c>
      <c r="D127" s="15" t="s">
        <v>63</v>
      </c>
      <c r="E127" s="85">
        <v>497472.75</v>
      </c>
      <c r="F127" s="15" t="s">
        <v>215</v>
      </c>
      <c r="G127" s="85">
        <v>512098.916666667</v>
      </c>
      <c r="H127" s="220">
        <f t="shared" si="36"/>
        <v>14626.166666667</v>
      </c>
      <c r="I127" s="85">
        <v>39797.82</v>
      </c>
      <c r="J127" s="85">
        <f t="shared" si="37"/>
        <v>40967.9133333334</v>
      </c>
      <c r="K127" s="85">
        <f t="shared" si="38"/>
        <v>1170.09333333336</v>
      </c>
      <c r="L127" s="85">
        <f t="shared" si="15"/>
        <v>491614.96</v>
      </c>
      <c r="M127" s="15" t="s">
        <v>215</v>
      </c>
      <c r="N127" s="85">
        <f>'[21] FGN 2024 MGT Monthly'!$J$41</f>
        <v>320359.083333333</v>
      </c>
      <c r="O127" s="909">
        <f>N127*0.025</f>
        <v>8008.97708333333</v>
      </c>
      <c r="P127" s="85">
        <v>7791.83125</v>
      </c>
      <c r="Q127" s="909">
        <f t="shared" si="18"/>
        <v>217.145833333333</v>
      </c>
      <c r="R127" s="909">
        <f t="shared" si="19"/>
        <v>96107.725</v>
      </c>
    </row>
    <row r="128" s="1" customFormat="1" customHeight="1" spans="1:18">
      <c r="A128" s="10">
        <v>4</v>
      </c>
      <c r="B128" s="11" t="s">
        <v>231</v>
      </c>
      <c r="C128" s="4" t="s">
        <v>232</v>
      </c>
      <c r="D128" s="15" t="s">
        <v>66</v>
      </c>
      <c r="E128" s="85">
        <v>482846.583333333</v>
      </c>
      <c r="F128" s="15" t="s">
        <v>63</v>
      </c>
      <c r="G128" s="85">
        <v>497472.75</v>
      </c>
      <c r="H128" s="220">
        <f t="shared" si="36"/>
        <v>14626.166666667</v>
      </c>
      <c r="I128" s="85">
        <v>38627.7266666667</v>
      </c>
      <c r="J128" s="85">
        <f t="shared" si="37"/>
        <v>39797.82</v>
      </c>
      <c r="K128" s="85">
        <f t="shared" si="38"/>
        <v>1170.0933333333</v>
      </c>
      <c r="L128" s="85">
        <f t="shared" si="15"/>
        <v>477573.84</v>
      </c>
      <c r="M128" s="15" t="s">
        <v>63</v>
      </c>
      <c r="N128" s="909">
        <v>311673.25</v>
      </c>
      <c r="O128" s="909">
        <f>N128*0.025</f>
        <v>7791.83125</v>
      </c>
      <c r="P128" s="85">
        <v>7574.69</v>
      </c>
      <c r="Q128" s="909">
        <f t="shared" si="18"/>
        <v>217.141250000001</v>
      </c>
      <c r="R128" s="909">
        <f t="shared" si="19"/>
        <v>93501.975</v>
      </c>
    </row>
    <row r="129" customHeight="1" spans="1:18">
      <c r="A129" s="10">
        <v>5</v>
      </c>
      <c r="B129" s="11" t="s">
        <v>233</v>
      </c>
      <c r="C129" s="4" t="s">
        <v>232</v>
      </c>
      <c r="D129" s="15" t="s">
        <v>66</v>
      </c>
      <c r="E129" s="85">
        <v>482846.583333333</v>
      </c>
      <c r="F129" s="15" t="s">
        <v>63</v>
      </c>
      <c r="G129" s="85">
        <v>497472.75</v>
      </c>
      <c r="H129" s="220">
        <f t="shared" si="36"/>
        <v>14626.166666667</v>
      </c>
      <c r="I129" s="85">
        <v>38627.7266666667</v>
      </c>
      <c r="J129" s="85">
        <f t="shared" si="37"/>
        <v>39797.82</v>
      </c>
      <c r="K129" s="85">
        <f t="shared" si="38"/>
        <v>1170.0933333333</v>
      </c>
      <c r="L129" s="85">
        <f t="shared" si="15"/>
        <v>477573.84</v>
      </c>
      <c r="M129" s="15" t="s">
        <v>63</v>
      </c>
      <c r="N129" s="909">
        <v>311673.25</v>
      </c>
      <c r="O129" s="909"/>
      <c r="P129" s="85"/>
      <c r="Q129" s="909">
        <f t="shared" si="18"/>
        <v>0</v>
      </c>
      <c r="R129" s="909">
        <f t="shared" si="19"/>
        <v>0</v>
      </c>
    </row>
    <row r="130" customHeight="1" spans="1:18">
      <c r="A130" s="10">
        <v>6</v>
      </c>
      <c r="B130" s="11" t="s">
        <v>234</v>
      </c>
      <c r="C130" s="4" t="s">
        <v>197</v>
      </c>
      <c r="D130" s="15" t="s">
        <v>77</v>
      </c>
      <c r="E130" s="220">
        <v>390135.833333334</v>
      </c>
      <c r="F130" s="15" t="s">
        <v>151</v>
      </c>
      <c r="G130" s="220">
        <v>399131.166666667</v>
      </c>
      <c r="H130" s="220">
        <f t="shared" si="36"/>
        <v>8995.33333333296</v>
      </c>
      <c r="I130" s="85">
        <v>31210.8666666667</v>
      </c>
      <c r="J130" s="85">
        <f t="shared" si="37"/>
        <v>31930.4933333334</v>
      </c>
      <c r="K130" s="85">
        <f t="shared" si="38"/>
        <v>719.626666666656</v>
      </c>
      <c r="L130" s="85">
        <f t="shared" si="15"/>
        <v>383165.92</v>
      </c>
      <c r="M130" s="15" t="s">
        <v>151</v>
      </c>
      <c r="N130" s="909">
        <v>251467.916666667</v>
      </c>
      <c r="O130" s="909"/>
      <c r="P130" s="85"/>
      <c r="Q130" s="909">
        <f t="shared" si="18"/>
        <v>0</v>
      </c>
      <c r="R130" s="909">
        <f t="shared" si="19"/>
        <v>0</v>
      </c>
    </row>
    <row r="131" s="1" customFormat="1" customHeight="1" spans="1:18">
      <c r="A131" s="10">
        <v>7</v>
      </c>
      <c r="B131" s="18" t="s">
        <v>235</v>
      </c>
      <c r="C131" s="12" t="s">
        <v>236</v>
      </c>
      <c r="D131" s="15" t="s">
        <v>80</v>
      </c>
      <c r="E131" s="85">
        <v>372145.333333333</v>
      </c>
      <c r="F131" s="15" t="s">
        <v>74</v>
      </c>
      <c r="G131" s="85">
        <v>381140.666666666</v>
      </c>
      <c r="H131" s="220">
        <f t="shared" si="36"/>
        <v>8995.33333333296</v>
      </c>
      <c r="I131" s="687">
        <v>29771.6266666667</v>
      </c>
      <c r="J131" s="85">
        <f t="shared" si="37"/>
        <v>30491.2533333333</v>
      </c>
      <c r="K131" s="85">
        <f t="shared" si="38"/>
        <v>719.62666666658</v>
      </c>
      <c r="L131" s="85">
        <f t="shared" si="15"/>
        <v>365895.039999999</v>
      </c>
      <c r="M131" s="15" t="s">
        <v>74</v>
      </c>
      <c r="N131" s="909">
        <v>240874.583333333</v>
      </c>
      <c r="O131" s="909"/>
      <c r="P131" s="4"/>
      <c r="Q131" s="909">
        <f t="shared" si="18"/>
        <v>0</v>
      </c>
      <c r="R131" s="909">
        <f t="shared" si="19"/>
        <v>0</v>
      </c>
    </row>
    <row r="132" customHeight="1" spans="1:18">
      <c r="A132" s="4"/>
      <c r="B132" s="20" t="s">
        <v>120</v>
      </c>
      <c r="C132" s="21">
        <v>7</v>
      </c>
      <c r="D132" s="26"/>
      <c r="E132" s="93">
        <f t="shared" ref="E132:L132" si="39">SUM(E125:E131)</f>
        <v>4496717.5</v>
      </c>
      <c r="F132" s="93"/>
      <c r="G132" s="93">
        <f t="shared" si="39"/>
        <v>4624079.66666666</v>
      </c>
      <c r="H132" s="93">
        <f t="shared" si="39"/>
        <v>127362.166666663</v>
      </c>
      <c r="I132" s="93">
        <f t="shared" si="39"/>
        <v>359737.399999999</v>
      </c>
      <c r="J132" s="93">
        <f t="shared" si="39"/>
        <v>369926.373333333</v>
      </c>
      <c r="K132" s="93">
        <f t="shared" si="39"/>
        <v>10188.9733333333</v>
      </c>
      <c r="L132" s="93">
        <f t="shared" ref="L132:R132" si="40">SUM(L125:L131)</f>
        <v>4439116.47999999</v>
      </c>
      <c r="M132" s="93">
        <f t="shared" si="40"/>
        <v>0</v>
      </c>
      <c r="N132" s="93">
        <f t="shared" si="40"/>
        <v>2889242.66666666</v>
      </c>
      <c r="O132" s="93">
        <f t="shared" si="40"/>
        <v>42970.2354166666</v>
      </c>
      <c r="P132" s="93">
        <f t="shared" si="40"/>
        <v>41773.3420833333</v>
      </c>
      <c r="Q132" s="93">
        <f t="shared" si="40"/>
        <v>1196.89333333329</v>
      </c>
      <c r="R132" s="93">
        <f t="shared" si="40"/>
        <v>515642.824999999</v>
      </c>
    </row>
    <row r="133" customHeight="1" spans="1:18">
      <c r="A133" s="4"/>
      <c r="B133" s="22"/>
      <c r="C133" s="21"/>
      <c r="D133" s="26"/>
      <c r="E133" s="146"/>
      <c r="F133" s="146"/>
      <c r="G133" s="146"/>
      <c r="H133" s="220"/>
      <c r="I133" s="146"/>
      <c r="J133" s="146"/>
      <c r="K133" s="146"/>
      <c r="L133" s="85"/>
      <c r="M133" s="146"/>
      <c r="N133" s="146"/>
      <c r="O133" s="909"/>
      <c r="P133" s="146"/>
      <c r="Q133" s="909">
        <f t="shared" si="18"/>
        <v>0</v>
      </c>
      <c r="R133" s="909"/>
    </row>
    <row r="134" customHeight="1" spans="1:18">
      <c r="A134" s="4"/>
      <c r="B134" s="20" t="s">
        <v>237</v>
      </c>
      <c r="C134" s="4"/>
      <c r="D134" s="4"/>
      <c r="E134" s="4"/>
      <c r="F134" s="4"/>
      <c r="G134" s="4"/>
      <c r="H134" s="220"/>
      <c r="I134" s="4"/>
      <c r="J134" s="4"/>
      <c r="K134" s="4"/>
      <c r="L134" s="85"/>
      <c r="M134" s="4"/>
      <c r="N134" s="4"/>
      <c r="O134" s="909"/>
      <c r="P134" s="4"/>
      <c r="Q134" s="909">
        <f t="shared" si="18"/>
        <v>0</v>
      </c>
      <c r="R134" s="909"/>
    </row>
    <row r="135" customHeight="1" spans="1:18">
      <c r="A135" s="4">
        <v>1</v>
      </c>
      <c r="B135" s="11" t="s">
        <v>238</v>
      </c>
      <c r="C135" s="12" t="s">
        <v>239</v>
      </c>
      <c r="D135" s="15" t="s">
        <v>124</v>
      </c>
      <c r="E135" s="85">
        <v>1747106.41666666</v>
      </c>
      <c r="F135" s="15" t="s">
        <v>124</v>
      </c>
      <c r="G135" s="85">
        <v>1747106.41666666</v>
      </c>
      <c r="H135" s="220">
        <f>G135-E135</f>
        <v>0</v>
      </c>
      <c r="I135" s="85">
        <v>139768.513333333</v>
      </c>
      <c r="J135" s="85">
        <f>G135*0.08</f>
        <v>139768.513333333</v>
      </c>
      <c r="K135" s="85">
        <f>J135-I135</f>
        <v>0</v>
      </c>
      <c r="L135" s="85">
        <f t="shared" si="15"/>
        <v>1677222.15999999</v>
      </c>
      <c r="M135" s="15" t="s">
        <v>124</v>
      </c>
      <c r="N135" s="909">
        <v>1086777.08333333</v>
      </c>
      <c r="O135" s="909"/>
      <c r="P135" s="85">
        <v>0</v>
      </c>
      <c r="Q135" s="909">
        <f t="shared" si="18"/>
        <v>0</v>
      </c>
      <c r="R135" s="909">
        <f t="shared" si="19"/>
        <v>0</v>
      </c>
    </row>
    <row r="136" customHeight="1" spans="1:18">
      <c r="A136" s="4">
        <v>2</v>
      </c>
      <c r="B136" s="11" t="s">
        <v>240</v>
      </c>
      <c r="C136" s="4" t="s">
        <v>241</v>
      </c>
      <c r="D136" s="16" t="s">
        <v>35</v>
      </c>
      <c r="E136" s="85">
        <v>905306.75</v>
      </c>
      <c r="F136" s="16" t="s">
        <v>35</v>
      </c>
      <c r="G136" s="85">
        <v>905306.75</v>
      </c>
      <c r="H136" s="220">
        <f t="shared" ref="H136:H145" si="41">G136-E136</f>
        <v>0</v>
      </c>
      <c r="I136" s="85">
        <v>72424.54</v>
      </c>
      <c r="J136" s="85">
        <f t="shared" ref="J136:J145" si="42">G136*0.08</f>
        <v>72424.54</v>
      </c>
      <c r="K136" s="85">
        <f t="shared" ref="K136:K145" si="43">J136-I136</f>
        <v>0</v>
      </c>
      <c r="L136" s="85">
        <f t="shared" ref="L136:L199" si="44">J136*12</f>
        <v>869094.48</v>
      </c>
      <c r="M136" s="16" t="s">
        <v>35</v>
      </c>
      <c r="N136" s="909">
        <v>554669.5</v>
      </c>
      <c r="O136" s="909">
        <f>N136*0.025</f>
        <v>13866.7375</v>
      </c>
      <c r="P136" s="85">
        <v>13866.7375</v>
      </c>
      <c r="Q136" s="909">
        <f t="shared" si="18"/>
        <v>0</v>
      </c>
      <c r="R136" s="909">
        <f t="shared" si="19"/>
        <v>166400.85</v>
      </c>
    </row>
    <row r="137" customHeight="1" spans="1:18">
      <c r="A137" s="4">
        <v>3</v>
      </c>
      <c r="B137" s="11" t="s">
        <v>242</v>
      </c>
      <c r="C137" s="4" t="s">
        <v>243</v>
      </c>
      <c r="D137" s="10" t="s">
        <v>501</v>
      </c>
      <c r="E137" s="85">
        <v>542419.5</v>
      </c>
      <c r="F137" s="10" t="s">
        <v>212</v>
      </c>
      <c r="G137" s="85">
        <v>558165.25</v>
      </c>
      <c r="H137" s="220">
        <f t="shared" si="41"/>
        <v>15745.75</v>
      </c>
      <c r="I137" s="85">
        <v>43393.56</v>
      </c>
      <c r="J137" s="85">
        <f t="shared" si="42"/>
        <v>44653.22</v>
      </c>
      <c r="K137" s="85">
        <f t="shared" si="43"/>
        <v>1259.66</v>
      </c>
      <c r="L137" s="85">
        <f t="shared" si="44"/>
        <v>535838.64</v>
      </c>
      <c r="M137" s="10" t="s">
        <v>212</v>
      </c>
      <c r="N137" s="909">
        <v>347715.916666667</v>
      </c>
      <c r="O137" s="909">
        <f>N137*0.025</f>
        <v>8692.89791666667</v>
      </c>
      <c r="P137" s="85">
        <v>8459.13125</v>
      </c>
      <c r="Q137" s="909">
        <f t="shared" ref="Q137:Q200" si="45">O137-P137</f>
        <v>233.766666666674</v>
      </c>
      <c r="R137" s="909">
        <f t="shared" ref="R137:R200" si="46">O137*12</f>
        <v>104314.775</v>
      </c>
    </row>
    <row r="138" customHeight="1" spans="1:18">
      <c r="A138" s="4">
        <v>4</v>
      </c>
      <c r="B138" s="11" t="s">
        <v>244</v>
      </c>
      <c r="C138" s="4" t="s">
        <v>243</v>
      </c>
      <c r="D138" s="10" t="s">
        <v>501</v>
      </c>
      <c r="E138" s="85">
        <v>542419.5</v>
      </c>
      <c r="F138" s="10" t="s">
        <v>212</v>
      </c>
      <c r="G138" s="85">
        <v>558165.25</v>
      </c>
      <c r="H138" s="220">
        <f t="shared" si="41"/>
        <v>15745.75</v>
      </c>
      <c r="I138" s="85">
        <v>43393.56</v>
      </c>
      <c r="J138" s="85">
        <f t="shared" si="42"/>
        <v>44653.22</v>
      </c>
      <c r="K138" s="85">
        <f t="shared" si="43"/>
        <v>1259.66</v>
      </c>
      <c r="L138" s="85">
        <f t="shared" si="44"/>
        <v>535838.64</v>
      </c>
      <c r="M138" s="10" t="s">
        <v>212</v>
      </c>
      <c r="N138" s="909">
        <v>347715.916666667</v>
      </c>
      <c r="O138" s="909"/>
      <c r="P138" s="85"/>
      <c r="Q138" s="909">
        <f t="shared" si="45"/>
        <v>0</v>
      </c>
      <c r="R138" s="909">
        <f t="shared" si="46"/>
        <v>0</v>
      </c>
    </row>
    <row r="139" s="1" customFormat="1" customHeight="1" spans="1:18">
      <c r="A139" s="4">
        <v>5</v>
      </c>
      <c r="B139" s="18" t="s">
        <v>245</v>
      </c>
      <c r="C139" s="4" t="s">
        <v>246</v>
      </c>
      <c r="D139" s="15" t="s">
        <v>504</v>
      </c>
      <c r="E139" s="220">
        <v>441159</v>
      </c>
      <c r="F139" s="15" t="s">
        <v>131</v>
      </c>
      <c r="G139" s="85">
        <v>454993.583333333</v>
      </c>
      <c r="H139" s="220">
        <f t="shared" si="41"/>
        <v>13834.583333333</v>
      </c>
      <c r="I139" s="85">
        <v>35292.72</v>
      </c>
      <c r="J139" s="85">
        <f t="shared" si="42"/>
        <v>36399.4866666666</v>
      </c>
      <c r="K139" s="85">
        <f t="shared" si="43"/>
        <v>1106.76666666664</v>
      </c>
      <c r="L139" s="85">
        <f t="shared" si="44"/>
        <v>436793.839999999</v>
      </c>
      <c r="M139" s="15" t="s">
        <v>131</v>
      </c>
      <c r="N139" s="909">
        <v>286447.083333333</v>
      </c>
      <c r="O139" s="909"/>
      <c r="P139" s="85"/>
      <c r="Q139" s="909">
        <f t="shared" si="45"/>
        <v>0</v>
      </c>
      <c r="R139" s="909">
        <f t="shared" si="46"/>
        <v>0</v>
      </c>
    </row>
    <row r="140" customHeight="1" spans="1:18">
      <c r="A140" s="4">
        <v>6</v>
      </c>
      <c r="B140" s="11" t="s">
        <v>247</v>
      </c>
      <c r="C140" s="4" t="s">
        <v>248</v>
      </c>
      <c r="D140" s="15" t="s">
        <v>507</v>
      </c>
      <c r="E140" s="220">
        <v>329950.416666667</v>
      </c>
      <c r="F140" s="15" t="s">
        <v>249</v>
      </c>
      <c r="G140" s="220">
        <f>'[21]Peculiar Allowance'!$O$37+'[21] FGN 2024 MGT Monthly'!$O$37</f>
        <v>336960.166666667</v>
      </c>
      <c r="H140" s="220">
        <f t="shared" si="41"/>
        <v>7009.74999999971</v>
      </c>
      <c r="I140" s="85">
        <v>26396.0333333334</v>
      </c>
      <c r="J140" s="85">
        <f t="shared" si="42"/>
        <v>26956.8133333333</v>
      </c>
      <c r="K140" s="85">
        <f t="shared" si="43"/>
        <v>560.779999999937</v>
      </c>
      <c r="L140" s="85">
        <f t="shared" si="44"/>
        <v>323481.76</v>
      </c>
      <c r="M140" s="15" t="s">
        <v>249</v>
      </c>
      <c r="N140" s="220">
        <f>'[21] FGN 2024 MGT Monthly'!$O$37</f>
        <v>217289.25</v>
      </c>
      <c r="O140" s="909"/>
      <c r="P140" s="85"/>
      <c r="Q140" s="909">
        <f t="shared" si="45"/>
        <v>0</v>
      </c>
      <c r="R140" s="909">
        <f t="shared" si="46"/>
        <v>0</v>
      </c>
    </row>
    <row r="141" customHeight="1" spans="1:18">
      <c r="A141" s="4">
        <v>7</v>
      </c>
      <c r="B141" s="18" t="s">
        <v>250</v>
      </c>
      <c r="C141" s="4" t="s">
        <v>248</v>
      </c>
      <c r="D141" s="10" t="s">
        <v>344</v>
      </c>
      <c r="E141" s="220">
        <v>330407.083333333</v>
      </c>
      <c r="F141" s="10" t="s">
        <v>99</v>
      </c>
      <c r="G141" s="220">
        <v>338711.666666667</v>
      </c>
      <c r="H141" s="220">
        <f t="shared" si="41"/>
        <v>8304.58333333395</v>
      </c>
      <c r="I141" s="85">
        <v>26432.5666666666</v>
      </c>
      <c r="J141" s="85">
        <f t="shared" si="42"/>
        <v>27096.9333333334</v>
      </c>
      <c r="K141" s="85">
        <f t="shared" si="43"/>
        <v>664.36666666676</v>
      </c>
      <c r="L141" s="85">
        <f t="shared" si="44"/>
        <v>325163.200000001</v>
      </c>
      <c r="M141" s="10" t="s">
        <v>99</v>
      </c>
      <c r="N141" s="909">
        <v>217733.416666667</v>
      </c>
      <c r="O141" s="909"/>
      <c r="P141" s="85"/>
      <c r="Q141" s="909">
        <f t="shared" si="45"/>
        <v>0</v>
      </c>
      <c r="R141" s="909">
        <f t="shared" si="46"/>
        <v>0</v>
      </c>
    </row>
    <row r="142" customHeight="1" spans="1:18">
      <c r="A142" s="4">
        <v>8</v>
      </c>
      <c r="B142" s="18" t="s">
        <v>251</v>
      </c>
      <c r="C142" s="4" t="s">
        <v>248</v>
      </c>
      <c r="D142" s="15" t="s">
        <v>105</v>
      </c>
      <c r="E142" s="220">
        <v>308920.666666667</v>
      </c>
      <c r="F142" s="15" t="s">
        <v>223</v>
      </c>
      <c r="G142" s="220">
        <v>315930.583333333</v>
      </c>
      <c r="H142" s="220">
        <f t="shared" si="41"/>
        <v>7009.91666666605</v>
      </c>
      <c r="I142" s="85">
        <v>24713.6533333334</v>
      </c>
      <c r="J142" s="85">
        <f t="shared" si="42"/>
        <v>25274.4466666666</v>
      </c>
      <c r="K142" s="85">
        <f t="shared" si="43"/>
        <v>560.79333333324</v>
      </c>
      <c r="L142" s="85">
        <f t="shared" si="44"/>
        <v>303293.359999999</v>
      </c>
      <c r="M142" s="15" t="s">
        <v>223</v>
      </c>
      <c r="N142" s="220">
        <f>'[21] FGN 2024 MGT Monthly'!$L$37</f>
        <v>204734.416666667</v>
      </c>
      <c r="O142" s="909">
        <f>N142*0.025</f>
        <v>5118.36041666667</v>
      </c>
      <c r="P142" s="85">
        <v>5013.73541666668</v>
      </c>
      <c r="Q142" s="909">
        <f t="shared" si="45"/>
        <v>104.624999999986</v>
      </c>
      <c r="R142" s="909">
        <f t="shared" si="46"/>
        <v>61420.325</v>
      </c>
    </row>
    <row r="143" s="1" customFormat="1" customHeight="1" spans="1:18">
      <c r="A143" s="4">
        <v>9</v>
      </c>
      <c r="B143" s="18" t="s">
        <v>252</v>
      </c>
      <c r="C143" s="4" t="s">
        <v>248</v>
      </c>
      <c r="D143" s="15" t="s">
        <v>276</v>
      </c>
      <c r="E143" s="85">
        <v>287890.916666667</v>
      </c>
      <c r="F143" s="15" t="s">
        <v>111</v>
      </c>
      <c r="G143" s="85">
        <v>294900.833333334</v>
      </c>
      <c r="H143" s="220">
        <f t="shared" si="41"/>
        <v>7009.91666666704</v>
      </c>
      <c r="I143" s="687">
        <v>23031.2733333333</v>
      </c>
      <c r="J143" s="85">
        <f t="shared" si="42"/>
        <v>23592.0666666667</v>
      </c>
      <c r="K143" s="85">
        <f t="shared" si="43"/>
        <v>560.793333333419</v>
      </c>
      <c r="L143" s="85">
        <f t="shared" si="44"/>
        <v>283104.8</v>
      </c>
      <c r="M143" s="15" t="s">
        <v>111</v>
      </c>
      <c r="N143" s="909">
        <v>192179.416666667</v>
      </c>
      <c r="O143" s="909"/>
      <c r="P143" s="4"/>
      <c r="Q143" s="909">
        <f t="shared" si="45"/>
        <v>0</v>
      </c>
      <c r="R143" s="909">
        <f t="shared" si="46"/>
        <v>0</v>
      </c>
    </row>
    <row r="144" s="1" customFormat="1" customHeight="1" spans="1:18">
      <c r="A144" s="4">
        <v>10</v>
      </c>
      <c r="B144" s="18" t="s">
        <v>253</v>
      </c>
      <c r="C144" s="4" t="s">
        <v>248</v>
      </c>
      <c r="D144" s="15" t="s">
        <v>276</v>
      </c>
      <c r="E144" s="85">
        <v>287890.916666667</v>
      </c>
      <c r="F144" s="15" t="s">
        <v>111</v>
      </c>
      <c r="G144" s="85">
        <v>294900.833333334</v>
      </c>
      <c r="H144" s="220">
        <f t="shared" si="41"/>
        <v>7009.91666666704</v>
      </c>
      <c r="I144" s="687">
        <v>23031.2733333333</v>
      </c>
      <c r="J144" s="85">
        <f t="shared" si="42"/>
        <v>23592.0666666667</v>
      </c>
      <c r="K144" s="85">
        <f t="shared" si="43"/>
        <v>560.793333333419</v>
      </c>
      <c r="L144" s="85">
        <f t="shared" si="44"/>
        <v>283104.8</v>
      </c>
      <c r="M144" s="15" t="s">
        <v>111</v>
      </c>
      <c r="N144" s="909">
        <v>192179.416666667</v>
      </c>
      <c r="O144" s="909"/>
      <c r="P144" s="4"/>
      <c r="Q144" s="909">
        <f t="shared" si="45"/>
        <v>0</v>
      </c>
      <c r="R144" s="909">
        <f t="shared" si="46"/>
        <v>0</v>
      </c>
    </row>
    <row r="145" s="1" customFormat="1" customHeight="1" spans="1:18">
      <c r="A145" s="4">
        <v>11</v>
      </c>
      <c r="B145" s="18" t="s">
        <v>254</v>
      </c>
      <c r="C145" s="4" t="s">
        <v>248</v>
      </c>
      <c r="D145" s="15" t="s">
        <v>276</v>
      </c>
      <c r="E145" s="85">
        <v>287890.916666667</v>
      </c>
      <c r="F145" s="15" t="s">
        <v>111</v>
      </c>
      <c r="G145" s="85">
        <v>294900.833333334</v>
      </c>
      <c r="H145" s="220">
        <f t="shared" si="41"/>
        <v>7009.91666666704</v>
      </c>
      <c r="I145" s="687">
        <v>23031.2733333333</v>
      </c>
      <c r="J145" s="85">
        <f t="shared" si="42"/>
        <v>23592.0666666667</v>
      </c>
      <c r="K145" s="85">
        <f t="shared" si="43"/>
        <v>560.793333333419</v>
      </c>
      <c r="L145" s="85">
        <f t="shared" si="44"/>
        <v>283104.8</v>
      </c>
      <c r="M145" s="15" t="s">
        <v>111</v>
      </c>
      <c r="N145" s="909">
        <v>192179.416666667</v>
      </c>
      <c r="O145" s="909"/>
      <c r="P145" s="4"/>
      <c r="Q145" s="909">
        <f t="shared" si="45"/>
        <v>0</v>
      </c>
      <c r="R145" s="909">
        <f t="shared" si="46"/>
        <v>0</v>
      </c>
    </row>
    <row r="146" ht="25.5" customHeight="1" spans="1:18">
      <c r="A146" s="4"/>
      <c r="B146" s="20" t="s">
        <v>120</v>
      </c>
      <c r="C146" s="21">
        <v>11</v>
      </c>
      <c r="D146" s="4"/>
      <c r="E146" s="223">
        <f t="shared" ref="E146:L146" si="47">SUM(E135:E145)</f>
        <v>6011362.08333333</v>
      </c>
      <c r="F146" s="223"/>
      <c r="G146" s="223">
        <f t="shared" si="47"/>
        <v>6100042.16666666</v>
      </c>
      <c r="H146" s="223">
        <f t="shared" si="47"/>
        <v>88680.0833333338</v>
      </c>
      <c r="I146" s="223">
        <f t="shared" si="47"/>
        <v>480908.966666666</v>
      </c>
      <c r="J146" s="223">
        <f t="shared" si="47"/>
        <v>488003.373333333</v>
      </c>
      <c r="K146" s="223">
        <f t="shared" si="47"/>
        <v>7094.40666666684</v>
      </c>
      <c r="L146" s="223">
        <f t="shared" si="47"/>
        <v>5856040.47999999</v>
      </c>
      <c r="M146" s="223">
        <f t="shared" ref="M146:R146" si="48">SUM(M135:M145)</f>
        <v>0</v>
      </c>
      <c r="N146" s="223">
        <f t="shared" si="48"/>
        <v>3839620.83333333</v>
      </c>
      <c r="O146" s="223">
        <f t="shared" si="48"/>
        <v>27677.9958333333</v>
      </c>
      <c r="P146" s="223">
        <f t="shared" si="48"/>
        <v>27339.6041666667</v>
      </c>
      <c r="Q146" s="223">
        <f t="shared" si="48"/>
        <v>338.39166666666</v>
      </c>
      <c r="R146" s="223">
        <f t="shared" si="48"/>
        <v>332135.95</v>
      </c>
    </row>
    <row r="147" customHeight="1" spans="1:18">
      <c r="A147" s="4"/>
      <c r="B147" s="20"/>
      <c r="C147" s="21"/>
      <c r="D147" s="4"/>
      <c r="E147" s="223"/>
      <c r="F147" s="223"/>
      <c r="G147" s="223"/>
      <c r="H147" s="518"/>
      <c r="I147" s="223"/>
      <c r="J147" s="223"/>
      <c r="K147" s="223"/>
      <c r="L147" s="85"/>
      <c r="M147" s="223"/>
      <c r="N147" s="223"/>
      <c r="O147" s="909"/>
      <c r="P147" s="223"/>
      <c r="Q147" s="909"/>
      <c r="R147" s="909"/>
    </row>
    <row r="148" customHeight="1" spans="1:18">
      <c r="A148" s="10"/>
      <c r="B148" s="20" t="s">
        <v>255</v>
      </c>
      <c r="C148" s="21"/>
      <c r="D148" s="21"/>
      <c r="E148" s="146"/>
      <c r="F148" s="146"/>
      <c r="G148" s="146"/>
      <c r="H148" s="220"/>
      <c r="I148" s="146"/>
      <c r="J148" s="146"/>
      <c r="K148" s="146"/>
      <c r="L148" s="85"/>
      <c r="M148" s="146"/>
      <c r="N148" s="146"/>
      <c r="O148" s="909"/>
      <c r="P148" s="146"/>
      <c r="Q148" s="909"/>
      <c r="R148" s="909"/>
    </row>
    <row r="149" s="1" customFormat="1" customHeight="1" spans="1:18">
      <c r="A149" s="10">
        <v>1</v>
      </c>
      <c r="B149" s="11" t="s">
        <v>256</v>
      </c>
      <c r="C149" s="17" t="s">
        <v>142</v>
      </c>
      <c r="D149" s="10" t="s">
        <v>41</v>
      </c>
      <c r="E149" s="85">
        <v>700713.916666666</v>
      </c>
      <c r="F149" s="10" t="s">
        <v>49</v>
      </c>
      <c r="G149" s="85">
        <v>722595.5</v>
      </c>
      <c r="H149" s="220">
        <f>G149-E149</f>
        <v>21881.583333334</v>
      </c>
      <c r="I149" s="85">
        <v>56057.1133333333</v>
      </c>
      <c r="J149" s="85">
        <f t="shared" ref="J149:J156" si="49">G149*0.08</f>
        <v>57807.64</v>
      </c>
      <c r="K149" s="85">
        <f t="shared" ref="K149:K156" si="50">J149-I149</f>
        <v>1750.5266666667</v>
      </c>
      <c r="L149" s="85">
        <f t="shared" si="44"/>
        <v>693691.68</v>
      </c>
      <c r="M149" s="10" t="s">
        <v>49</v>
      </c>
      <c r="N149" s="909">
        <v>445995.833333333</v>
      </c>
      <c r="O149" s="909"/>
      <c r="P149" s="85">
        <v>0</v>
      </c>
      <c r="Q149" s="909">
        <f t="shared" si="45"/>
        <v>0</v>
      </c>
      <c r="R149" s="909">
        <f t="shared" si="46"/>
        <v>0</v>
      </c>
    </row>
    <row r="150" ht="18.75" customHeight="1" spans="1:18">
      <c r="A150" s="10">
        <v>2</v>
      </c>
      <c r="B150" s="11" t="s">
        <v>257</v>
      </c>
      <c r="C150" s="4" t="s">
        <v>258</v>
      </c>
      <c r="D150" s="15" t="s">
        <v>170</v>
      </c>
      <c r="E150" s="85">
        <v>482662.666666667</v>
      </c>
      <c r="F150" s="15" t="s">
        <v>259</v>
      </c>
      <c r="G150" s="85">
        <f>'[21] FGN 2024 MGT Monthly'!$L$40+'[21]Peculiar Allowance'!$L$40</f>
        <v>496497.166666667</v>
      </c>
      <c r="H150" s="220">
        <f t="shared" ref="H150:H156" si="51">G150-E150</f>
        <v>13834.4999999997</v>
      </c>
      <c r="I150" s="85">
        <v>38613.0133333334</v>
      </c>
      <c r="J150" s="85">
        <f t="shared" si="49"/>
        <v>39719.7733333333</v>
      </c>
      <c r="K150" s="85">
        <f t="shared" si="50"/>
        <v>1106.7599999999</v>
      </c>
      <c r="L150" s="85">
        <f t="shared" si="44"/>
        <v>476637.28</v>
      </c>
      <c r="M150" s="15" t="s">
        <v>259</v>
      </c>
      <c r="N150" s="85">
        <f>'[21] FGN 2024 MGT Monthly'!$L$40</f>
        <v>311094.416666667</v>
      </c>
      <c r="O150" s="909">
        <f>N150*0.025</f>
        <v>7777.36041666667</v>
      </c>
      <c r="P150" s="85">
        <v>7571.97</v>
      </c>
      <c r="Q150" s="909">
        <f t="shared" si="45"/>
        <v>205.390416666667</v>
      </c>
      <c r="R150" s="909">
        <f t="shared" si="46"/>
        <v>93328.325</v>
      </c>
    </row>
    <row r="151" ht="18.75" customHeight="1" spans="1:18">
      <c r="A151" s="10">
        <v>3</v>
      </c>
      <c r="B151" s="11" t="s">
        <v>260</v>
      </c>
      <c r="C151" s="4" t="s">
        <v>71</v>
      </c>
      <c r="D151" s="15" t="s">
        <v>69</v>
      </c>
      <c r="E151" s="85">
        <v>468828.166666667</v>
      </c>
      <c r="F151" s="15" t="s">
        <v>69</v>
      </c>
      <c r="G151" s="85">
        <v>468828.166666667</v>
      </c>
      <c r="H151" s="220">
        <f t="shared" si="51"/>
        <v>0</v>
      </c>
      <c r="I151" s="85">
        <v>37506.2533333334</v>
      </c>
      <c r="J151" s="85"/>
      <c r="K151" s="85">
        <f t="shared" si="50"/>
        <v>-37506.2533333334</v>
      </c>
      <c r="L151" s="85">
        <f t="shared" si="44"/>
        <v>0</v>
      </c>
      <c r="M151" s="15" t="s">
        <v>69</v>
      </c>
      <c r="N151" s="909">
        <v>294662.916666667</v>
      </c>
      <c r="O151" s="909"/>
      <c r="P151" s="85"/>
      <c r="Q151" s="909">
        <f t="shared" si="45"/>
        <v>0</v>
      </c>
      <c r="R151" s="909">
        <f t="shared" si="46"/>
        <v>0</v>
      </c>
    </row>
    <row r="152" s="1" customFormat="1" ht="18.75" customHeight="1" spans="1:18">
      <c r="A152" s="10">
        <v>4</v>
      </c>
      <c r="B152" s="18" t="s">
        <v>261</v>
      </c>
      <c r="C152" s="4" t="s">
        <v>150</v>
      </c>
      <c r="D152" s="10" t="s">
        <v>344</v>
      </c>
      <c r="E152" s="85">
        <v>330407.083333333</v>
      </c>
      <c r="F152" s="10" t="s">
        <v>99</v>
      </c>
      <c r="G152" s="220">
        <v>338711.666666667</v>
      </c>
      <c r="H152" s="220">
        <f t="shared" si="51"/>
        <v>8304.58333333395</v>
      </c>
      <c r="I152" s="85">
        <v>26432.5666666667</v>
      </c>
      <c r="J152" s="85">
        <f t="shared" si="49"/>
        <v>27096.9333333334</v>
      </c>
      <c r="K152" s="85">
        <f t="shared" si="50"/>
        <v>664.366666666701</v>
      </c>
      <c r="L152" s="85">
        <f t="shared" si="44"/>
        <v>325163.200000001</v>
      </c>
      <c r="M152" s="10" t="s">
        <v>99</v>
      </c>
      <c r="N152" s="909">
        <v>217733.416666667</v>
      </c>
      <c r="O152" s="909">
        <f>N152*0.025</f>
        <v>5443.33541666668</v>
      </c>
      <c r="P152" s="85">
        <v>5319.8</v>
      </c>
      <c r="Q152" s="909">
        <f t="shared" si="45"/>
        <v>123.535416666676</v>
      </c>
      <c r="R152" s="909">
        <f t="shared" si="46"/>
        <v>65320.0250000001</v>
      </c>
    </row>
    <row r="153" s="1" customFormat="1" ht="18.75" customHeight="1" spans="1:18">
      <c r="A153" s="10">
        <v>5</v>
      </c>
      <c r="B153" s="18" t="s">
        <v>262</v>
      </c>
      <c r="C153" s="4" t="s">
        <v>150</v>
      </c>
      <c r="D153" s="10" t="s">
        <v>344</v>
      </c>
      <c r="E153" s="85">
        <v>330407.083333333</v>
      </c>
      <c r="F153" s="10" t="s">
        <v>99</v>
      </c>
      <c r="G153" s="220">
        <v>338711.666666667</v>
      </c>
      <c r="H153" s="220">
        <f t="shared" si="51"/>
        <v>8304.58333333395</v>
      </c>
      <c r="I153" s="85">
        <v>26432.5666666667</v>
      </c>
      <c r="J153" s="85">
        <f t="shared" si="49"/>
        <v>27096.9333333334</v>
      </c>
      <c r="K153" s="85">
        <f t="shared" si="50"/>
        <v>664.366666666701</v>
      </c>
      <c r="L153" s="85">
        <f t="shared" si="44"/>
        <v>325163.200000001</v>
      </c>
      <c r="M153" s="10" t="s">
        <v>99</v>
      </c>
      <c r="N153" s="909">
        <v>217733.416666667</v>
      </c>
      <c r="O153" s="909">
        <f>N153*0.025</f>
        <v>5443.33541666668</v>
      </c>
      <c r="P153" s="85">
        <v>5319.8</v>
      </c>
      <c r="Q153" s="909">
        <f t="shared" si="45"/>
        <v>123.535416666676</v>
      </c>
      <c r="R153" s="909">
        <f t="shared" si="46"/>
        <v>65320.0250000001</v>
      </c>
    </row>
    <row r="154" s="1" customFormat="1" ht="18.75" customHeight="1" spans="1:18">
      <c r="A154" s="10">
        <v>6</v>
      </c>
      <c r="B154" s="18" t="s">
        <v>263</v>
      </c>
      <c r="C154" s="4" t="s">
        <v>150</v>
      </c>
      <c r="D154" s="10" t="s">
        <v>344</v>
      </c>
      <c r="E154" s="85">
        <v>330407.083333333</v>
      </c>
      <c r="F154" s="10" t="s">
        <v>99</v>
      </c>
      <c r="G154" s="220">
        <v>338711.666666667</v>
      </c>
      <c r="H154" s="220">
        <f t="shared" si="51"/>
        <v>8304.58333333395</v>
      </c>
      <c r="I154" s="85">
        <v>26432.5666666667</v>
      </c>
      <c r="J154" s="85">
        <f t="shared" si="49"/>
        <v>27096.9333333334</v>
      </c>
      <c r="K154" s="85">
        <f t="shared" si="50"/>
        <v>664.366666666701</v>
      </c>
      <c r="L154" s="85">
        <f t="shared" si="44"/>
        <v>325163.200000001</v>
      </c>
      <c r="M154" s="10" t="s">
        <v>99</v>
      </c>
      <c r="N154" s="909">
        <v>217733.416666667</v>
      </c>
      <c r="O154" s="909">
        <f>N154*0.025</f>
        <v>5443.33541666668</v>
      </c>
      <c r="P154" s="85">
        <v>5319.8</v>
      </c>
      <c r="Q154" s="909">
        <f t="shared" si="45"/>
        <v>123.535416666676</v>
      </c>
      <c r="R154" s="909">
        <f t="shared" si="46"/>
        <v>65320.0250000001</v>
      </c>
    </row>
    <row r="155" s="1" customFormat="1" ht="18.75" customHeight="1" spans="1:18">
      <c r="A155" s="10">
        <v>7</v>
      </c>
      <c r="B155" s="18" t="s">
        <v>264</v>
      </c>
      <c r="C155" s="4" t="s">
        <v>150</v>
      </c>
      <c r="D155" s="10" t="s">
        <v>344</v>
      </c>
      <c r="E155" s="85">
        <v>330407.083333333</v>
      </c>
      <c r="F155" s="10" t="s">
        <v>99</v>
      </c>
      <c r="G155" s="220">
        <v>338711.666666667</v>
      </c>
      <c r="H155" s="220">
        <f t="shared" si="51"/>
        <v>8304.58333333395</v>
      </c>
      <c r="I155" s="85">
        <v>26432.5666666667</v>
      </c>
      <c r="J155" s="85">
        <f t="shared" si="49"/>
        <v>27096.9333333334</v>
      </c>
      <c r="K155" s="85">
        <f t="shared" si="50"/>
        <v>664.366666666701</v>
      </c>
      <c r="L155" s="85">
        <f t="shared" si="44"/>
        <v>325163.200000001</v>
      </c>
      <c r="M155" s="10" t="s">
        <v>99</v>
      </c>
      <c r="N155" s="909">
        <v>217733.416666667</v>
      </c>
      <c r="O155" s="909">
        <f>N155*0.025</f>
        <v>5443.33541666668</v>
      </c>
      <c r="P155" s="85">
        <v>5319.8</v>
      </c>
      <c r="Q155" s="909">
        <f t="shared" si="45"/>
        <v>123.535416666676</v>
      </c>
      <c r="R155" s="909">
        <f t="shared" si="46"/>
        <v>65320.0250000001</v>
      </c>
    </row>
    <row r="156" s="1" customFormat="1" customHeight="1" spans="1:18">
      <c r="A156" s="10">
        <v>8</v>
      </c>
      <c r="B156" s="18" t="s">
        <v>265</v>
      </c>
      <c r="C156" s="12" t="s">
        <v>266</v>
      </c>
      <c r="D156" s="15" t="s">
        <v>276</v>
      </c>
      <c r="E156" s="85">
        <v>287890.916666667</v>
      </c>
      <c r="F156" s="15" t="s">
        <v>111</v>
      </c>
      <c r="G156" s="85">
        <v>294900.833333334</v>
      </c>
      <c r="H156" s="220">
        <f t="shared" si="51"/>
        <v>7009.91666666704</v>
      </c>
      <c r="I156" s="687">
        <v>23031.2733333333</v>
      </c>
      <c r="J156" s="85">
        <f t="shared" si="49"/>
        <v>23592.0666666667</v>
      </c>
      <c r="K156" s="85">
        <f t="shared" si="50"/>
        <v>560.793333333397</v>
      </c>
      <c r="L156" s="85">
        <f t="shared" si="44"/>
        <v>283104.8</v>
      </c>
      <c r="M156" s="15" t="s">
        <v>111</v>
      </c>
      <c r="N156" s="909">
        <v>192179.416666667</v>
      </c>
      <c r="O156" s="909">
        <f>N156*0.025</f>
        <v>4804.48541666668</v>
      </c>
      <c r="P156" s="1">
        <v>4699.86</v>
      </c>
      <c r="Q156" s="909">
        <f t="shared" si="45"/>
        <v>104.625416666676</v>
      </c>
      <c r="R156" s="909">
        <f t="shared" si="46"/>
        <v>57653.8250000001</v>
      </c>
    </row>
    <row r="157" ht="24.75" customHeight="1" spans="1:18">
      <c r="A157" s="4"/>
      <c r="B157" s="20" t="s">
        <v>120</v>
      </c>
      <c r="C157" s="21">
        <v>8</v>
      </c>
      <c r="D157" s="26"/>
      <c r="E157" s="93">
        <f t="shared" ref="E157:L157" si="52">SUM(E149:E156)</f>
        <v>3261724</v>
      </c>
      <c r="F157" s="93"/>
      <c r="G157" s="93">
        <f t="shared" si="52"/>
        <v>3337668.33333334</v>
      </c>
      <c r="H157" s="93">
        <f t="shared" si="52"/>
        <v>75944.3333333365</v>
      </c>
      <c r="I157" s="93">
        <f t="shared" si="52"/>
        <v>260937.92</v>
      </c>
      <c r="J157" s="93">
        <f t="shared" si="52"/>
        <v>229507.213333334</v>
      </c>
      <c r="K157" s="93">
        <f t="shared" si="52"/>
        <v>-31430.7066666666</v>
      </c>
      <c r="L157" s="93">
        <f t="shared" ref="L157:R157" si="53">SUM(L149:L156)</f>
        <v>2754086.56</v>
      </c>
      <c r="M157" s="93">
        <f t="shared" si="53"/>
        <v>0</v>
      </c>
      <c r="N157" s="93">
        <f t="shared" si="53"/>
        <v>2114866.25</v>
      </c>
      <c r="O157" s="93">
        <f t="shared" si="53"/>
        <v>34355.1875</v>
      </c>
      <c r="P157" s="93">
        <f t="shared" si="53"/>
        <v>33551.03</v>
      </c>
      <c r="Q157" s="93">
        <f t="shared" si="53"/>
        <v>804.157500000046</v>
      </c>
      <c r="R157" s="93">
        <f t="shared" si="53"/>
        <v>412262.250000001</v>
      </c>
    </row>
    <row r="158" ht="24.75" customHeight="1" spans="1:18">
      <c r="A158" s="4"/>
      <c r="B158" s="20"/>
      <c r="C158" s="21"/>
      <c r="D158" s="26"/>
      <c r="E158" s="93"/>
      <c r="F158" s="93"/>
      <c r="G158" s="93"/>
      <c r="H158" s="93"/>
      <c r="I158" s="93"/>
      <c r="J158" s="93"/>
      <c r="K158" s="93"/>
      <c r="L158" s="85"/>
      <c r="M158" s="93"/>
      <c r="N158" s="93"/>
      <c r="O158" s="909"/>
      <c r="P158" s="93"/>
      <c r="Q158" s="909"/>
      <c r="R158" s="909"/>
    </row>
    <row r="159" ht="24.75" customHeight="1" spans="1:18">
      <c r="A159" s="10"/>
      <c r="B159" s="20" t="s">
        <v>267</v>
      </c>
      <c r="C159" s="21"/>
      <c r="D159" s="21"/>
      <c r="E159" s="146"/>
      <c r="F159" s="146"/>
      <c r="G159" s="146"/>
      <c r="H159" s="220"/>
      <c r="I159" s="146"/>
      <c r="J159" s="146"/>
      <c r="K159" s="146"/>
      <c r="L159" s="85"/>
      <c r="M159" s="146"/>
      <c r="N159" s="146"/>
      <c r="O159" s="909"/>
      <c r="P159" s="146"/>
      <c r="Q159" s="909"/>
      <c r="R159" s="909"/>
    </row>
    <row r="160" s="1" customFormat="1" customHeight="1" spans="1:18">
      <c r="A160" s="4">
        <v>1</v>
      </c>
      <c r="B160" s="18" t="s">
        <v>268</v>
      </c>
      <c r="C160" s="12" t="s">
        <v>269</v>
      </c>
      <c r="D160" s="15" t="s">
        <v>80</v>
      </c>
      <c r="E160" s="85">
        <v>372145.333333333</v>
      </c>
      <c r="F160" s="15" t="s">
        <v>74</v>
      </c>
      <c r="G160" s="85">
        <v>381140.666666666</v>
      </c>
      <c r="H160" s="220">
        <f>G160-E160</f>
        <v>8995.33333333296</v>
      </c>
      <c r="I160" s="687">
        <v>29771.6266666667</v>
      </c>
      <c r="J160" s="85">
        <f t="shared" ref="J160:J164" si="54">G160*0.08</f>
        <v>30491.2533333333</v>
      </c>
      <c r="K160" s="85">
        <f t="shared" ref="K160:K164" si="55">J160-I160</f>
        <v>719.62666666658</v>
      </c>
      <c r="L160" s="85">
        <f t="shared" si="44"/>
        <v>365895.04</v>
      </c>
      <c r="M160" s="15" t="s">
        <v>74</v>
      </c>
      <c r="N160" s="909">
        <v>240874.583333333</v>
      </c>
      <c r="O160" s="909"/>
      <c r="P160" s="4"/>
      <c r="Q160" s="909">
        <f t="shared" si="45"/>
        <v>0</v>
      </c>
      <c r="R160" s="909">
        <f t="shared" si="46"/>
        <v>0</v>
      </c>
    </row>
    <row r="161" s="1" customFormat="1" ht="18.75" customHeight="1" spans="1:18">
      <c r="A161" s="4">
        <v>2</v>
      </c>
      <c r="B161" s="18" t="s">
        <v>270</v>
      </c>
      <c r="C161" s="4" t="s">
        <v>271</v>
      </c>
      <c r="D161" s="10" t="s">
        <v>344</v>
      </c>
      <c r="E161" s="85">
        <v>330407.083333333</v>
      </c>
      <c r="F161" s="10" t="s">
        <v>99</v>
      </c>
      <c r="G161" s="85">
        <v>338711.666666667</v>
      </c>
      <c r="H161" s="220">
        <f>G161-E161</f>
        <v>8304.58333333395</v>
      </c>
      <c r="I161" s="85">
        <v>26432.5666666667</v>
      </c>
      <c r="J161" s="85">
        <f t="shared" si="54"/>
        <v>27096.9333333334</v>
      </c>
      <c r="K161" s="85">
        <f t="shared" si="55"/>
        <v>664.366666666661</v>
      </c>
      <c r="L161" s="85">
        <f t="shared" si="44"/>
        <v>325163.200000001</v>
      </c>
      <c r="M161" s="10" t="s">
        <v>99</v>
      </c>
      <c r="N161" s="909">
        <v>217733.416666667</v>
      </c>
      <c r="O161" s="909"/>
      <c r="P161" s="85"/>
      <c r="Q161" s="909">
        <f t="shared" si="45"/>
        <v>0</v>
      </c>
      <c r="R161" s="909">
        <f t="shared" si="46"/>
        <v>0</v>
      </c>
    </row>
    <row r="162" ht="24.75" customHeight="1" spans="1:18">
      <c r="A162" s="4">
        <v>3</v>
      </c>
      <c r="B162" s="11" t="s">
        <v>272</v>
      </c>
      <c r="C162" s="4" t="s">
        <v>273</v>
      </c>
      <c r="D162" s="10" t="s">
        <v>276</v>
      </c>
      <c r="E162" s="85">
        <v>287890.916666667</v>
      </c>
      <c r="F162" s="10" t="s">
        <v>111</v>
      </c>
      <c r="G162" s="85">
        <v>294900.833333334</v>
      </c>
      <c r="H162" s="220">
        <f>G162-E162</f>
        <v>7009.91666666704</v>
      </c>
      <c r="I162" s="85">
        <v>23031.2733333334</v>
      </c>
      <c r="J162" s="85">
        <f t="shared" si="54"/>
        <v>23592.0666666667</v>
      </c>
      <c r="K162" s="85">
        <f t="shared" si="55"/>
        <v>560.79333333332</v>
      </c>
      <c r="L162" s="85">
        <f t="shared" si="44"/>
        <v>283104.8</v>
      </c>
      <c r="M162" s="10" t="s">
        <v>111</v>
      </c>
      <c r="N162" s="909">
        <v>192179.416666667</v>
      </c>
      <c r="O162" s="909"/>
      <c r="P162" s="85"/>
      <c r="Q162" s="909">
        <f t="shared" si="45"/>
        <v>0</v>
      </c>
      <c r="R162" s="909">
        <f t="shared" si="46"/>
        <v>0</v>
      </c>
    </row>
    <row r="163" s="1" customFormat="1" customHeight="1" spans="1:18">
      <c r="A163" s="4">
        <v>4</v>
      </c>
      <c r="B163" s="18" t="s">
        <v>274</v>
      </c>
      <c r="C163" s="12" t="s">
        <v>275</v>
      </c>
      <c r="D163" s="15" t="s">
        <v>276</v>
      </c>
      <c r="E163" s="85">
        <v>287890.916666667</v>
      </c>
      <c r="F163" s="15" t="s">
        <v>276</v>
      </c>
      <c r="G163" s="85">
        <v>287890.916666667</v>
      </c>
      <c r="H163" s="220">
        <f>G163-E163</f>
        <v>0</v>
      </c>
      <c r="I163" s="261">
        <v>23031.2733333333</v>
      </c>
      <c r="J163" s="85">
        <f t="shared" si="54"/>
        <v>23031.2733333334</v>
      </c>
      <c r="K163" s="85">
        <f t="shared" si="55"/>
        <v>5.82076609134674e-11</v>
      </c>
      <c r="L163" s="85">
        <f t="shared" si="44"/>
        <v>276375.280000001</v>
      </c>
      <c r="M163" s="15" t="s">
        <v>276</v>
      </c>
      <c r="N163" s="909">
        <v>187994.416666667</v>
      </c>
      <c r="O163" s="909"/>
      <c r="P163" s="833"/>
      <c r="Q163" s="909">
        <f t="shared" si="45"/>
        <v>0</v>
      </c>
      <c r="R163" s="909">
        <f t="shared" si="46"/>
        <v>0</v>
      </c>
    </row>
    <row r="164" ht="24.75" customHeight="1" spans="1:18">
      <c r="A164" s="4">
        <v>5</v>
      </c>
      <c r="B164" s="11" t="s">
        <v>277</v>
      </c>
      <c r="C164" s="4" t="s">
        <v>278</v>
      </c>
      <c r="D164" s="10" t="s">
        <v>276</v>
      </c>
      <c r="E164" s="85">
        <v>287890.916666667</v>
      </c>
      <c r="F164" s="10" t="s">
        <v>111</v>
      </c>
      <c r="G164" s="85">
        <v>294900.833333334</v>
      </c>
      <c r="H164" s="220">
        <f>G164-E164</f>
        <v>7009.91666666704</v>
      </c>
      <c r="I164" s="85">
        <v>23031.2733333334</v>
      </c>
      <c r="J164" s="85">
        <f t="shared" si="54"/>
        <v>23592.0666666667</v>
      </c>
      <c r="K164" s="85">
        <f t="shared" si="55"/>
        <v>560.79333333332</v>
      </c>
      <c r="L164" s="85">
        <f t="shared" si="44"/>
        <v>283104.8</v>
      </c>
      <c r="M164" s="10" t="s">
        <v>111</v>
      </c>
      <c r="N164" s="909">
        <v>192179.416666667</v>
      </c>
      <c r="O164" s="909"/>
      <c r="P164" s="85"/>
      <c r="Q164" s="909">
        <f t="shared" si="45"/>
        <v>0</v>
      </c>
      <c r="R164" s="909">
        <f t="shared" si="46"/>
        <v>0</v>
      </c>
    </row>
    <row r="165" customHeight="1" spans="1:18">
      <c r="A165" s="4"/>
      <c r="B165" s="20" t="s">
        <v>120</v>
      </c>
      <c r="C165" s="21">
        <v>5</v>
      </c>
      <c r="D165" s="26"/>
      <c r="E165" s="93">
        <f t="shared" ref="E165:L165" si="56">SUM(E160:E164)</f>
        <v>1566225.16666667</v>
      </c>
      <c r="F165" s="93"/>
      <c r="G165" s="93">
        <f t="shared" si="56"/>
        <v>1597544.91666667</v>
      </c>
      <c r="H165" s="93">
        <f t="shared" si="56"/>
        <v>31319.750000001</v>
      </c>
      <c r="I165" s="93">
        <f t="shared" si="56"/>
        <v>125298.013333334</v>
      </c>
      <c r="J165" s="93">
        <f t="shared" si="56"/>
        <v>127803.593333333</v>
      </c>
      <c r="K165" s="93">
        <f t="shared" si="56"/>
        <v>2505.57999999994</v>
      </c>
      <c r="L165" s="93">
        <f t="shared" ref="L165:R165" si="57">SUM(L160:L164)</f>
        <v>1533643.12</v>
      </c>
      <c r="M165" s="93">
        <f t="shared" si="57"/>
        <v>0</v>
      </c>
      <c r="N165" s="93">
        <f t="shared" si="57"/>
        <v>1030961.25</v>
      </c>
      <c r="O165" s="93">
        <f t="shared" si="57"/>
        <v>0</v>
      </c>
      <c r="P165" s="93">
        <f t="shared" si="57"/>
        <v>0</v>
      </c>
      <c r="Q165" s="93">
        <f t="shared" si="57"/>
        <v>0</v>
      </c>
      <c r="R165" s="93">
        <f t="shared" si="57"/>
        <v>0</v>
      </c>
    </row>
    <row r="166" customHeight="1" spans="1:18">
      <c r="A166" s="4"/>
      <c r="B166" s="20"/>
      <c r="C166" s="21"/>
      <c r="D166" s="26"/>
      <c r="E166" s="93"/>
      <c r="F166" s="93"/>
      <c r="G166" s="93"/>
      <c r="H166" s="93"/>
      <c r="I166" s="93"/>
      <c r="J166" s="93"/>
      <c r="K166" s="93"/>
      <c r="L166" s="85"/>
      <c r="M166" s="93"/>
      <c r="N166" s="93"/>
      <c r="O166" s="909"/>
      <c r="P166" s="93"/>
      <c r="Q166" s="909"/>
      <c r="R166" s="909"/>
    </row>
    <row r="167" customHeight="1" spans="1:18">
      <c r="A167" s="4"/>
      <c r="B167" s="20" t="s">
        <v>279</v>
      </c>
      <c r="C167" s="21"/>
      <c r="D167" s="21"/>
      <c r="E167" s="146"/>
      <c r="F167" s="146"/>
      <c r="G167" s="146"/>
      <c r="H167" s="220"/>
      <c r="I167" s="146"/>
      <c r="J167" s="146"/>
      <c r="K167" s="146"/>
      <c r="L167" s="85"/>
      <c r="M167" s="146"/>
      <c r="N167" s="146"/>
      <c r="O167" s="909"/>
      <c r="P167" s="146"/>
      <c r="Q167" s="909"/>
      <c r="R167" s="909"/>
    </row>
    <row r="168" customHeight="1" spans="1:18">
      <c r="A168" s="4">
        <v>1</v>
      </c>
      <c r="B168" s="11" t="s">
        <v>280</v>
      </c>
      <c r="C168" s="12" t="s">
        <v>281</v>
      </c>
      <c r="D168" s="15" t="s">
        <v>124</v>
      </c>
      <c r="E168" s="85">
        <v>1747106.41666666</v>
      </c>
      <c r="F168" s="15" t="s">
        <v>124</v>
      </c>
      <c r="G168" s="85">
        <v>1747106.41666666</v>
      </c>
      <c r="H168" s="220">
        <f>G168-E168</f>
        <v>0</v>
      </c>
      <c r="I168" s="85">
        <v>139768.513333333</v>
      </c>
      <c r="J168" s="85">
        <f t="shared" ref="J168:J179" si="58">G168*0.08</f>
        <v>139768.513333333</v>
      </c>
      <c r="K168" s="85">
        <f t="shared" ref="K168:K179" si="59">J168-I168</f>
        <v>0</v>
      </c>
      <c r="L168" s="85">
        <f t="shared" si="44"/>
        <v>1677222.16</v>
      </c>
      <c r="M168" s="15" t="s">
        <v>124</v>
      </c>
      <c r="N168" s="909">
        <v>1086777.08333333</v>
      </c>
      <c r="O168" s="909">
        <f>N168*0.025</f>
        <v>27169.4270833333</v>
      </c>
      <c r="P168" s="85">
        <v>27169.4270833333</v>
      </c>
      <c r="Q168" s="909">
        <f t="shared" si="45"/>
        <v>-4.72937244921923e-11</v>
      </c>
      <c r="R168" s="909">
        <f t="shared" si="46"/>
        <v>326033.124999999</v>
      </c>
    </row>
    <row r="169" customHeight="1" spans="1:18">
      <c r="A169" s="4">
        <v>2</v>
      </c>
      <c r="B169" s="11" t="s">
        <v>282</v>
      </c>
      <c r="C169" s="12" t="s">
        <v>283</v>
      </c>
      <c r="D169" s="15" t="s">
        <v>35</v>
      </c>
      <c r="E169" s="85">
        <v>905306.75</v>
      </c>
      <c r="F169" s="15" t="s">
        <v>35</v>
      </c>
      <c r="G169" s="85">
        <v>905306.75</v>
      </c>
      <c r="H169" s="220">
        <f t="shared" ref="H169:H179" si="60">G169-E169</f>
        <v>0</v>
      </c>
      <c r="I169" s="85">
        <v>72424.54</v>
      </c>
      <c r="J169" s="85">
        <f t="shared" si="58"/>
        <v>72424.54</v>
      </c>
      <c r="K169" s="85">
        <f t="shared" si="59"/>
        <v>0</v>
      </c>
      <c r="L169" s="85">
        <f t="shared" si="44"/>
        <v>869094.48</v>
      </c>
      <c r="M169" s="15" t="s">
        <v>35</v>
      </c>
      <c r="N169" s="909">
        <v>554669.5</v>
      </c>
      <c r="O169" s="909">
        <f>N169*0.025</f>
        <v>13866.7375</v>
      </c>
      <c r="P169" s="85">
        <v>13866.7375</v>
      </c>
      <c r="Q169" s="909">
        <f t="shared" si="45"/>
        <v>0</v>
      </c>
      <c r="R169" s="909">
        <f t="shared" si="46"/>
        <v>166400.85</v>
      </c>
    </row>
    <row r="170" customHeight="1" spans="1:18">
      <c r="A170" s="4">
        <v>3</v>
      </c>
      <c r="B170" s="14" t="s">
        <v>284</v>
      </c>
      <c r="C170" s="12" t="s">
        <v>283</v>
      </c>
      <c r="D170" s="15" t="s">
        <v>207</v>
      </c>
      <c r="E170" s="85">
        <v>879008.916666667</v>
      </c>
      <c r="F170" s="15" t="s">
        <v>35</v>
      </c>
      <c r="G170" s="85">
        <v>905306.75</v>
      </c>
      <c r="H170" s="220">
        <f t="shared" si="60"/>
        <v>26297.833333333</v>
      </c>
      <c r="I170" s="85">
        <v>68216.8866666666</v>
      </c>
      <c r="J170" s="85">
        <f t="shared" si="58"/>
        <v>72424.54</v>
      </c>
      <c r="K170" s="85">
        <f t="shared" si="59"/>
        <v>4207.65333333341</v>
      </c>
      <c r="L170" s="85">
        <f t="shared" si="44"/>
        <v>869094.48</v>
      </c>
      <c r="M170" s="15" t="s">
        <v>35</v>
      </c>
      <c r="N170" s="909">
        <v>554669.5</v>
      </c>
      <c r="O170" s="909">
        <f>N170*0.025</f>
        <v>13866.7375</v>
      </c>
      <c r="P170" s="85">
        <v>13084.6625</v>
      </c>
      <c r="Q170" s="909">
        <f t="shared" si="45"/>
        <v>782.075000000001</v>
      </c>
      <c r="R170" s="909">
        <f t="shared" si="46"/>
        <v>166400.85</v>
      </c>
    </row>
    <row r="171" customHeight="1" spans="1:18">
      <c r="A171" s="4">
        <v>4</v>
      </c>
      <c r="B171" s="11" t="s">
        <v>285</v>
      </c>
      <c r="C171" s="12" t="s">
        <v>286</v>
      </c>
      <c r="D171" s="15" t="s">
        <v>41</v>
      </c>
      <c r="E171" s="85">
        <v>700713.916666666</v>
      </c>
      <c r="F171" s="15" t="s">
        <v>49</v>
      </c>
      <c r="G171" s="85">
        <v>722595.5</v>
      </c>
      <c r="H171" s="220">
        <f t="shared" si="60"/>
        <v>21881.583333334</v>
      </c>
      <c r="I171" s="85">
        <v>56057.1133333333</v>
      </c>
      <c r="J171" s="85">
        <f t="shared" si="58"/>
        <v>57807.64</v>
      </c>
      <c r="K171" s="85">
        <f t="shared" si="59"/>
        <v>1750.5266666667</v>
      </c>
      <c r="L171" s="85">
        <f t="shared" si="44"/>
        <v>693691.68</v>
      </c>
      <c r="M171" s="15" t="s">
        <v>49</v>
      </c>
      <c r="N171" s="909">
        <v>445995.833333333</v>
      </c>
      <c r="O171" s="909"/>
      <c r="P171" s="85"/>
      <c r="Q171" s="909">
        <f t="shared" si="45"/>
        <v>0</v>
      </c>
      <c r="R171" s="909">
        <f t="shared" si="46"/>
        <v>0</v>
      </c>
    </row>
    <row r="172" customHeight="1" spans="1:18">
      <c r="A172" s="4">
        <v>5</v>
      </c>
      <c r="B172" s="11" t="s">
        <v>287</v>
      </c>
      <c r="C172" s="12" t="s">
        <v>286</v>
      </c>
      <c r="D172" s="15" t="s">
        <v>41</v>
      </c>
      <c r="E172" s="85">
        <v>700713.916666666</v>
      </c>
      <c r="F172" s="15" t="s">
        <v>41</v>
      </c>
      <c r="G172" s="85">
        <v>700713.916666666</v>
      </c>
      <c r="H172" s="220">
        <f t="shared" si="60"/>
        <v>0</v>
      </c>
      <c r="I172" s="85">
        <v>56057.1133333333</v>
      </c>
      <c r="J172" s="85">
        <f t="shared" si="58"/>
        <v>56057.1133333333</v>
      </c>
      <c r="K172" s="85">
        <f t="shared" si="59"/>
        <v>0</v>
      </c>
      <c r="L172" s="85">
        <f t="shared" si="44"/>
        <v>672685.36</v>
      </c>
      <c r="M172" s="15" t="s">
        <v>41</v>
      </c>
      <c r="N172" s="909">
        <v>432981.083333333</v>
      </c>
      <c r="O172" s="909"/>
      <c r="P172" s="85"/>
      <c r="Q172" s="909">
        <f t="shared" si="45"/>
        <v>0</v>
      </c>
      <c r="R172" s="909">
        <f t="shared" si="46"/>
        <v>0</v>
      </c>
    </row>
    <row r="173" customHeight="1" spans="1:18">
      <c r="A173" s="4">
        <v>6</v>
      </c>
      <c r="B173" s="11" t="s">
        <v>288</v>
      </c>
      <c r="C173" s="12" t="s">
        <v>289</v>
      </c>
      <c r="D173" s="15" t="s">
        <v>212</v>
      </c>
      <c r="E173" s="85">
        <v>558165.25</v>
      </c>
      <c r="F173" s="15" t="s">
        <v>46</v>
      </c>
      <c r="G173" s="85">
        <v>573911.083333334</v>
      </c>
      <c r="H173" s="220">
        <f t="shared" si="60"/>
        <v>15745.833333334</v>
      </c>
      <c r="I173" s="85">
        <v>44653.22</v>
      </c>
      <c r="J173" s="85">
        <f t="shared" si="58"/>
        <v>45912.8866666667</v>
      </c>
      <c r="K173" s="85">
        <f t="shared" si="59"/>
        <v>1259.66666666672</v>
      </c>
      <c r="L173" s="85">
        <f t="shared" si="44"/>
        <v>550954.64</v>
      </c>
      <c r="M173" s="15" t="s">
        <v>46</v>
      </c>
      <c r="N173" s="909">
        <v>357066.666666667</v>
      </c>
      <c r="O173" s="909">
        <f>N173*0.025</f>
        <v>8926.66666666668</v>
      </c>
      <c r="P173" s="85">
        <v>8692.89791666667</v>
      </c>
      <c r="Q173" s="909">
        <f t="shared" si="45"/>
        <v>233.768750000005</v>
      </c>
      <c r="R173" s="909">
        <f t="shared" si="46"/>
        <v>107120</v>
      </c>
    </row>
    <row r="174" customHeight="1" spans="1:18">
      <c r="A174" s="4">
        <v>7</v>
      </c>
      <c r="B174" s="11" t="s">
        <v>290</v>
      </c>
      <c r="C174" s="12" t="s">
        <v>289</v>
      </c>
      <c r="D174" s="15" t="s">
        <v>46</v>
      </c>
      <c r="E174" s="85">
        <v>573911.083333334</v>
      </c>
      <c r="F174" s="15" t="s">
        <v>189</v>
      </c>
      <c r="G174" s="85">
        <v>589657</v>
      </c>
      <c r="H174" s="220">
        <f t="shared" si="60"/>
        <v>15745.916666666</v>
      </c>
      <c r="I174" s="85">
        <v>45912.8866666667</v>
      </c>
      <c r="J174" s="85">
        <f t="shared" si="58"/>
        <v>47172.56</v>
      </c>
      <c r="K174" s="85">
        <f t="shared" si="59"/>
        <v>1259.6733333333</v>
      </c>
      <c r="L174" s="85">
        <f t="shared" si="44"/>
        <v>566070.72</v>
      </c>
      <c r="M174" s="15" t="s">
        <v>189</v>
      </c>
      <c r="N174" s="909">
        <v>366417.5</v>
      </c>
      <c r="O174" s="909">
        <f>N174*0.025</f>
        <v>9160.4375</v>
      </c>
      <c r="P174" s="85">
        <v>8926.66666666668</v>
      </c>
      <c r="Q174" s="909">
        <f t="shared" si="45"/>
        <v>233.770833333319</v>
      </c>
      <c r="R174" s="909">
        <f t="shared" si="46"/>
        <v>109925.25</v>
      </c>
    </row>
    <row r="175" s="1" customFormat="1" customHeight="1" spans="1:18">
      <c r="A175" s="4">
        <v>8</v>
      </c>
      <c r="B175" s="18" t="s">
        <v>291</v>
      </c>
      <c r="C175" s="12" t="s">
        <v>292</v>
      </c>
      <c r="D175" s="15" t="s">
        <v>344</v>
      </c>
      <c r="E175" s="85">
        <v>330407.083333333</v>
      </c>
      <c r="F175" s="15" t="s">
        <v>99</v>
      </c>
      <c r="G175" s="85">
        <v>338711.666666667</v>
      </c>
      <c r="H175" s="220">
        <f t="shared" si="60"/>
        <v>8304.58333333395</v>
      </c>
      <c r="I175" s="687">
        <v>26432.5666666667</v>
      </c>
      <c r="J175" s="85">
        <f t="shared" si="58"/>
        <v>27096.9333333334</v>
      </c>
      <c r="K175" s="85">
        <f t="shared" si="59"/>
        <v>664.366666666661</v>
      </c>
      <c r="L175" s="85">
        <f t="shared" si="44"/>
        <v>325163.200000001</v>
      </c>
      <c r="M175" s="15" t="s">
        <v>99</v>
      </c>
      <c r="N175" s="909">
        <v>217733.416666667</v>
      </c>
      <c r="O175" s="909"/>
      <c r="P175" s="4"/>
      <c r="Q175" s="909">
        <f t="shared" si="45"/>
        <v>0</v>
      </c>
      <c r="R175" s="909">
        <f t="shared" si="46"/>
        <v>0</v>
      </c>
    </row>
    <row r="176" customHeight="1" spans="1:18">
      <c r="A176" s="4">
        <v>9</v>
      </c>
      <c r="B176" s="11" t="s">
        <v>293</v>
      </c>
      <c r="C176" s="4" t="s">
        <v>294</v>
      </c>
      <c r="D176" s="15" t="s">
        <v>80</v>
      </c>
      <c r="E176" s="85">
        <v>372145.333333333</v>
      </c>
      <c r="F176" s="15" t="s">
        <v>80</v>
      </c>
      <c r="G176" s="85">
        <v>372145.333333333</v>
      </c>
      <c r="H176" s="220">
        <f t="shared" si="60"/>
        <v>0</v>
      </c>
      <c r="I176" s="85">
        <v>29771.6266666667</v>
      </c>
      <c r="J176" s="85">
        <f t="shared" si="58"/>
        <v>29771.6266666666</v>
      </c>
      <c r="K176" s="85">
        <f t="shared" si="59"/>
        <v>-5.82076609134674e-11</v>
      </c>
      <c r="L176" s="85">
        <f t="shared" si="44"/>
        <v>357259.519999999</v>
      </c>
      <c r="M176" s="15" t="s">
        <v>80</v>
      </c>
      <c r="N176" s="909">
        <f>'[21] FGN 2024 MGT Monthly'!$H$39</f>
        <v>235577.833333333</v>
      </c>
      <c r="O176" s="909"/>
      <c r="P176" s="85"/>
      <c r="Q176" s="909">
        <f t="shared" si="45"/>
        <v>0</v>
      </c>
      <c r="R176" s="909">
        <f t="shared" si="46"/>
        <v>0</v>
      </c>
    </row>
    <row r="177" customHeight="1" spans="1:18">
      <c r="A177" s="4">
        <v>10</v>
      </c>
      <c r="B177" s="18" t="s">
        <v>295</v>
      </c>
      <c r="C177" s="12" t="s">
        <v>296</v>
      </c>
      <c r="D177" s="15" t="s">
        <v>108</v>
      </c>
      <c r="E177" s="85">
        <v>301910.75</v>
      </c>
      <c r="F177" s="15" t="s">
        <v>105</v>
      </c>
      <c r="G177" s="85">
        <v>308920.666666667</v>
      </c>
      <c r="H177" s="220">
        <f t="shared" si="60"/>
        <v>7009.91666666698</v>
      </c>
      <c r="I177" s="85">
        <v>24152.86</v>
      </c>
      <c r="J177" s="85">
        <f t="shared" si="58"/>
        <v>24713.6533333334</v>
      </c>
      <c r="K177" s="85">
        <f t="shared" si="59"/>
        <v>560.793333333357</v>
      </c>
      <c r="L177" s="85">
        <f t="shared" si="44"/>
        <v>296563.840000001</v>
      </c>
      <c r="M177" s="15" t="s">
        <v>105</v>
      </c>
      <c r="N177" s="909">
        <v>200549.416666667</v>
      </c>
      <c r="O177" s="909">
        <f>N177*0.025</f>
        <v>5013.73541666668</v>
      </c>
      <c r="P177" s="916">
        <v>4909.11041666668</v>
      </c>
      <c r="Q177" s="909">
        <f t="shared" si="45"/>
        <v>104.624999999995</v>
      </c>
      <c r="R177" s="909">
        <f t="shared" si="46"/>
        <v>60164.8250000001</v>
      </c>
    </row>
    <row r="178" customHeight="1" spans="1:18">
      <c r="A178" s="4">
        <v>11</v>
      </c>
      <c r="B178" s="18" t="s">
        <v>297</v>
      </c>
      <c r="C178" s="12" t="s">
        <v>292</v>
      </c>
      <c r="D178" s="15" t="s">
        <v>108</v>
      </c>
      <c r="E178" s="85">
        <v>301910.75</v>
      </c>
      <c r="F178" s="15" t="s">
        <v>105</v>
      </c>
      <c r="G178" s="85">
        <v>308920.666666667</v>
      </c>
      <c r="H178" s="220">
        <f t="shared" si="60"/>
        <v>7009.91666666698</v>
      </c>
      <c r="I178" s="85">
        <v>24152.86</v>
      </c>
      <c r="J178" s="85">
        <f t="shared" si="58"/>
        <v>24713.6533333334</v>
      </c>
      <c r="K178" s="85">
        <f t="shared" si="59"/>
        <v>560.793333333357</v>
      </c>
      <c r="L178" s="85">
        <f t="shared" si="44"/>
        <v>296563.840000001</v>
      </c>
      <c r="M178" s="15" t="s">
        <v>105</v>
      </c>
      <c r="N178" s="909">
        <v>200549.416666667</v>
      </c>
      <c r="O178" s="909">
        <f>N178*0.025</f>
        <v>5013.73541666668</v>
      </c>
      <c r="P178" s="916">
        <v>4909.11041666668</v>
      </c>
      <c r="Q178" s="909">
        <f t="shared" si="45"/>
        <v>104.624999999995</v>
      </c>
      <c r="R178" s="909">
        <f t="shared" si="46"/>
        <v>60164.8250000001</v>
      </c>
    </row>
    <row r="179" customHeight="1" spans="1:18">
      <c r="A179" s="4">
        <v>12</v>
      </c>
      <c r="B179" s="18" t="s">
        <v>298</v>
      </c>
      <c r="C179" s="12" t="s">
        <v>296</v>
      </c>
      <c r="D179" s="15" t="s">
        <v>111</v>
      </c>
      <c r="E179" s="939">
        <v>294900.833333334</v>
      </c>
      <c r="F179" s="15" t="s">
        <v>108</v>
      </c>
      <c r="G179" s="85">
        <v>301910.75</v>
      </c>
      <c r="H179" s="220">
        <f t="shared" si="60"/>
        <v>7009.91666666599</v>
      </c>
      <c r="I179" s="687">
        <v>23592.0666666667</v>
      </c>
      <c r="J179" s="85">
        <f t="shared" si="58"/>
        <v>24152.86</v>
      </c>
      <c r="K179" s="85">
        <f t="shared" si="59"/>
        <v>560.793333333302</v>
      </c>
      <c r="L179" s="85">
        <f t="shared" si="44"/>
        <v>289834.32</v>
      </c>
      <c r="M179" s="15" t="s">
        <v>108</v>
      </c>
      <c r="N179" s="909">
        <v>196364.416666667</v>
      </c>
      <c r="O179" s="909">
        <f>N179*0.025</f>
        <v>4909.11041666668</v>
      </c>
      <c r="P179" s="916">
        <v>4804.48541666668</v>
      </c>
      <c r="Q179" s="909">
        <f t="shared" si="45"/>
        <v>104.624999999995</v>
      </c>
      <c r="R179" s="909">
        <f t="shared" si="46"/>
        <v>58909.3250000001</v>
      </c>
    </row>
    <row r="180" ht="28.5" customHeight="1" spans="1:18">
      <c r="A180" s="4"/>
      <c r="B180" s="20" t="s">
        <v>120</v>
      </c>
      <c r="C180" s="26" t="s">
        <v>299</v>
      </c>
      <c r="D180" s="15"/>
      <c r="E180" s="221">
        <f t="shared" ref="E180:L180" si="61">SUM(E168:E179)</f>
        <v>7666200.99999999</v>
      </c>
      <c r="F180" s="221"/>
      <c r="G180" s="221">
        <f t="shared" si="61"/>
        <v>7775206.49999999</v>
      </c>
      <c r="H180" s="221">
        <f t="shared" si="61"/>
        <v>109005.500000001</v>
      </c>
      <c r="I180" s="221">
        <f t="shared" si="61"/>
        <v>611192.253333333</v>
      </c>
      <c r="J180" s="221">
        <f t="shared" si="61"/>
        <v>622016.519999999</v>
      </c>
      <c r="K180" s="221">
        <f t="shared" si="61"/>
        <v>10824.2666666667</v>
      </c>
      <c r="L180" s="221">
        <f t="shared" ref="L180:R180" si="62">SUM(L168:L179)</f>
        <v>7464198.24</v>
      </c>
      <c r="M180" s="221">
        <f t="shared" si="62"/>
        <v>0</v>
      </c>
      <c r="N180" s="221">
        <f t="shared" si="62"/>
        <v>4849351.66666666</v>
      </c>
      <c r="O180" s="221">
        <f t="shared" si="62"/>
        <v>87926.5875</v>
      </c>
      <c r="P180" s="221">
        <f t="shared" si="62"/>
        <v>86363.0979166667</v>
      </c>
      <c r="Q180" s="221">
        <f t="shared" si="62"/>
        <v>1563.48958333326</v>
      </c>
      <c r="R180" s="221">
        <f t="shared" si="62"/>
        <v>1055119.05</v>
      </c>
    </row>
    <row r="181" customHeight="1" spans="1:18">
      <c r="A181" s="4"/>
      <c r="B181" s="22"/>
      <c r="C181" s="26"/>
      <c r="D181" s="15"/>
      <c r="E181" s="146"/>
      <c r="F181" s="146"/>
      <c r="G181" s="146"/>
      <c r="H181" s="220"/>
      <c r="I181" s="146"/>
      <c r="J181" s="146"/>
      <c r="K181" s="146"/>
      <c r="L181" s="85"/>
      <c r="M181" s="146"/>
      <c r="N181" s="146"/>
      <c r="O181" s="909"/>
      <c r="P181" s="146"/>
      <c r="Q181" s="909"/>
      <c r="R181" s="909"/>
    </row>
    <row r="182" customHeight="1" spans="1:18">
      <c r="A182" s="4"/>
      <c r="B182" s="20" t="s">
        <v>300</v>
      </c>
      <c r="C182" s="12"/>
      <c r="D182" s="15"/>
      <c r="E182" s="85"/>
      <c r="F182" s="85"/>
      <c r="G182" s="85"/>
      <c r="H182" s="220"/>
      <c r="I182" s="85"/>
      <c r="J182" s="85"/>
      <c r="K182" s="85"/>
      <c r="L182" s="85"/>
      <c r="M182" s="85"/>
      <c r="N182" s="85"/>
      <c r="O182" s="909"/>
      <c r="P182" s="85"/>
      <c r="Q182" s="909"/>
      <c r="R182" s="909"/>
    </row>
    <row r="183" customHeight="1" spans="1:18">
      <c r="A183" s="27">
        <v>1</v>
      </c>
      <c r="B183" s="14" t="s">
        <v>301</v>
      </c>
      <c r="C183" s="4" t="s">
        <v>302</v>
      </c>
      <c r="D183" s="10" t="s">
        <v>508</v>
      </c>
      <c r="E183" s="85">
        <v>1647612</v>
      </c>
      <c r="F183" s="10" t="s">
        <v>303</v>
      </c>
      <c r="G183" s="85">
        <v>1697359.33333333</v>
      </c>
      <c r="H183" s="220">
        <f>G183-E183</f>
        <v>49747.33333333</v>
      </c>
      <c r="I183" s="85">
        <v>131808.96</v>
      </c>
      <c r="J183" s="85">
        <f t="shared" ref="J183:J246" si="63">G183*0.08</f>
        <v>135788.746666666</v>
      </c>
      <c r="K183" s="85">
        <f t="shared" ref="K183:K246" si="64">J183-I183</f>
        <v>3979.78666666601</v>
      </c>
      <c r="L183" s="85">
        <f t="shared" si="44"/>
        <v>1629464.96</v>
      </c>
      <c r="M183" s="10" t="s">
        <v>303</v>
      </c>
      <c r="N183" s="909">
        <v>1056272.83333333</v>
      </c>
      <c r="O183" s="909">
        <f>N183*0.025</f>
        <v>26406.8208333333</v>
      </c>
      <c r="P183" s="85">
        <v>25644.2083333333</v>
      </c>
      <c r="Q183" s="909">
        <f t="shared" si="45"/>
        <v>762.612499999952</v>
      </c>
      <c r="R183" s="909">
        <f t="shared" si="46"/>
        <v>316881.849999999</v>
      </c>
    </row>
    <row r="184" customHeight="1" spans="1:18">
      <c r="A184" s="27">
        <v>2</v>
      </c>
      <c r="B184" s="14" t="s">
        <v>304</v>
      </c>
      <c r="C184" s="4" t="s">
        <v>305</v>
      </c>
      <c r="D184" s="16" t="s">
        <v>35</v>
      </c>
      <c r="E184" s="85">
        <v>905306.75</v>
      </c>
      <c r="F184" s="16" t="s">
        <v>35</v>
      </c>
      <c r="G184" s="85">
        <v>905306.75</v>
      </c>
      <c r="H184" s="220">
        <f t="shared" ref="H184:H215" si="65">G184-E184</f>
        <v>0</v>
      </c>
      <c r="I184" s="85">
        <v>72424.54</v>
      </c>
      <c r="J184" s="85">
        <f t="shared" si="63"/>
        <v>72424.54</v>
      </c>
      <c r="K184" s="85">
        <f t="shared" si="64"/>
        <v>0</v>
      </c>
      <c r="L184" s="85">
        <f t="shared" si="44"/>
        <v>869094.48</v>
      </c>
      <c r="M184" s="16" t="s">
        <v>35</v>
      </c>
      <c r="N184" s="909">
        <v>554669.5</v>
      </c>
      <c r="O184" s="909">
        <f>N184*0.025</f>
        <v>13866.7375</v>
      </c>
      <c r="P184" s="85">
        <v>13866.7375</v>
      </c>
      <c r="Q184" s="909">
        <f t="shared" si="45"/>
        <v>0</v>
      </c>
      <c r="R184" s="909">
        <f t="shared" si="46"/>
        <v>166400.85</v>
      </c>
    </row>
    <row r="185" customHeight="1" spans="1:18">
      <c r="A185" s="27">
        <v>3</v>
      </c>
      <c r="B185" s="11" t="s">
        <v>306</v>
      </c>
      <c r="C185" s="12" t="s">
        <v>307</v>
      </c>
      <c r="D185" s="15" t="s">
        <v>41</v>
      </c>
      <c r="E185" s="85">
        <v>700713.916666666</v>
      </c>
      <c r="F185" s="15" t="s">
        <v>49</v>
      </c>
      <c r="G185" s="85">
        <v>722595.5</v>
      </c>
      <c r="H185" s="220">
        <f t="shared" si="65"/>
        <v>21881.583333334</v>
      </c>
      <c r="I185" s="85">
        <v>56057.1133333333</v>
      </c>
      <c r="J185" s="85">
        <f t="shared" si="63"/>
        <v>57807.64</v>
      </c>
      <c r="K185" s="85">
        <f t="shared" si="64"/>
        <v>1750.5266666667</v>
      </c>
      <c r="L185" s="85">
        <f t="shared" si="44"/>
        <v>693691.68</v>
      </c>
      <c r="M185" s="15" t="s">
        <v>49</v>
      </c>
      <c r="N185" s="909">
        <v>445995.833333333</v>
      </c>
      <c r="O185" s="909">
        <f>N185*0.025</f>
        <v>11149.8958333333</v>
      </c>
      <c r="P185" s="85">
        <v>10824.5270833333</v>
      </c>
      <c r="Q185" s="909">
        <f t="shared" si="45"/>
        <v>325.368750000027</v>
      </c>
      <c r="R185" s="909">
        <f t="shared" si="46"/>
        <v>133798.75</v>
      </c>
    </row>
    <row r="186" customHeight="1" spans="1:18">
      <c r="A186" s="27">
        <v>4</v>
      </c>
      <c r="B186" s="11" t="s">
        <v>308</v>
      </c>
      <c r="C186" s="4" t="s">
        <v>309</v>
      </c>
      <c r="D186" s="15" t="s">
        <v>41</v>
      </c>
      <c r="E186" s="85">
        <v>700713.916666666</v>
      </c>
      <c r="F186" s="15" t="s">
        <v>49</v>
      </c>
      <c r="G186" s="85">
        <v>722595.5</v>
      </c>
      <c r="H186" s="220">
        <f t="shared" si="65"/>
        <v>21881.583333334</v>
      </c>
      <c r="I186" s="85">
        <v>56057.1133333333</v>
      </c>
      <c r="J186" s="85">
        <f t="shared" si="63"/>
        <v>57807.64</v>
      </c>
      <c r="K186" s="85">
        <f t="shared" si="64"/>
        <v>1750.5266666667</v>
      </c>
      <c r="L186" s="85">
        <f t="shared" si="44"/>
        <v>693691.68</v>
      </c>
      <c r="M186" s="15" t="s">
        <v>49</v>
      </c>
      <c r="N186" s="909">
        <v>445995.833333333</v>
      </c>
      <c r="O186" s="909">
        <f>N186*0.025</f>
        <v>11149.8958333333</v>
      </c>
      <c r="P186" s="85">
        <v>10824.5270833333</v>
      </c>
      <c r="Q186" s="909">
        <f t="shared" si="45"/>
        <v>325.368750000027</v>
      </c>
      <c r="R186" s="909">
        <f t="shared" si="46"/>
        <v>133798.75</v>
      </c>
    </row>
    <row r="187" customHeight="1" spans="1:18">
      <c r="A187" s="27">
        <v>5</v>
      </c>
      <c r="B187" s="11" t="s">
        <v>310</v>
      </c>
      <c r="C187" s="4" t="s">
        <v>309</v>
      </c>
      <c r="D187" s="15" t="s">
        <v>41</v>
      </c>
      <c r="E187" s="85">
        <v>700713.916666666</v>
      </c>
      <c r="F187" s="15" t="s">
        <v>49</v>
      </c>
      <c r="G187" s="85">
        <v>722595.5</v>
      </c>
      <c r="H187" s="220">
        <f t="shared" si="65"/>
        <v>21881.583333334</v>
      </c>
      <c r="I187" s="85">
        <v>56057.1133333333</v>
      </c>
      <c r="J187" s="85">
        <f t="shared" si="63"/>
        <v>57807.64</v>
      </c>
      <c r="K187" s="85">
        <f t="shared" si="64"/>
        <v>1750.5266666667</v>
      </c>
      <c r="L187" s="85">
        <f t="shared" si="44"/>
        <v>693691.68</v>
      </c>
      <c r="M187" s="15" t="s">
        <v>49</v>
      </c>
      <c r="N187" s="909">
        <v>445995.833333333</v>
      </c>
      <c r="O187" s="909">
        <f>N187*0.025</f>
        <v>11149.8958333333</v>
      </c>
      <c r="P187" s="85">
        <v>10824.5270833333</v>
      </c>
      <c r="Q187" s="909">
        <f t="shared" si="45"/>
        <v>325.368750000027</v>
      </c>
      <c r="R187" s="909">
        <f t="shared" si="46"/>
        <v>133798.75</v>
      </c>
    </row>
    <row r="188" customHeight="1" spans="1:18">
      <c r="A188" s="27">
        <v>6</v>
      </c>
      <c r="B188" s="11" t="s">
        <v>311</v>
      </c>
      <c r="C188" s="4" t="s">
        <v>312</v>
      </c>
      <c r="D188" s="10" t="s">
        <v>501</v>
      </c>
      <c r="E188" s="85">
        <v>542419.5</v>
      </c>
      <c r="F188" s="10" t="s">
        <v>52</v>
      </c>
      <c r="G188" s="85">
        <v>542419.5</v>
      </c>
      <c r="H188" s="220">
        <f t="shared" si="65"/>
        <v>0</v>
      </c>
      <c r="I188" s="85">
        <v>42133.8866666667</v>
      </c>
      <c r="J188" s="85">
        <f t="shared" si="63"/>
        <v>43393.56</v>
      </c>
      <c r="K188" s="85">
        <f t="shared" si="64"/>
        <v>1259.6733333333</v>
      </c>
      <c r="L188" s="85">
        <f t="shared" si="44"/>
        <v>520722.72</v>
      </c>
      <c r="M188" s="10" t="s">
        <v>52</v>
      </c>
      <c r="N188" s="909">
        <v>338365.25</v>
      </c>
      <c r="O188" s="909"/>
      <c r="P188" s="85"/>
      <c r="Q188" s="909">
        <f t="shared" si="45"/>
        <v>0</v>
      </c>
      <c r="R188" s="909">
        <f t="shared" si="46"/>
        <v>0</v>
      </c>
    </row>
    <row r="189" customHeight="1" spans="1:18">
      <c r="A189" s="27">
        <v>7</v>
      </c>
      <c r="B189" s="11" t="s">
        <v>313</v>
      </c>
      <c r="C189" s="12" t="s">
        <v>230</v>
      </c>
      <c r="D189" s="15" t="s">
        <v>66</v>
      </c>
      <c r="E189" s="85">
        <v>482846.583333334</v>
      </c>
      <c r="F189" s="15" t="s">
        <v>63</v>
      </c>
      <c r="G189" s="85">
        <v>497472.75</v>
      </c>
      <c r="H189" s="220">
        <f t="shared" si="65"/>
        <v>14626.166666666</v>
      </c>
      <c r="I189" s="85">
        <v>39797.82</v>
      </c>
      <c r="J189" s="85">
        <f t="shared" si="63"/>
        <v>39797.82</v>
      </c>
      <c r="K189" s="85">
        <f t="shared" si="64"/>
        <v>0</v>
      </c>
      <c r="L189" s="85">
        <f t="shared" si="44"/>
        <v>477573.84</v>
      </c>
      <c r="M189" s="15" t="s">
        <v>63</v>
      </c>
      <c r="N189" s="909">
        <v>311673.25</v>
      </c>
      <c r="O189" s="909"/>
      <c r="P189" s="85"/>
      <c r="Q189" s="909">
        <f t="shared" si="45"/>
        <v>0</v>
      </c>
      <c r="R189" s="909">
        <f t="shared" si="46"/>
        <v>0</v>
      </c>
    </row>
    <row r="190" customHeight="1" spans="1:18">
      <c r="A190" s="27">
        <v>8</v>
      </c>
      <c r="B190" s="11" t="s">
        <v>314</v>
      </c>
      <c r="C190" s="4" t="s">
        <v>315</v>
      </c>
      <c r="D190" s="15" t="s">
        <v>66</v>
      </c>
      <c r="E190" s="85">
        <v>482846.583333334</v>
      </c>
      <c r="F190" s="15" t="s">
        <v>63</v>
      </c>
      <c r="G190" s="85">
        <v>497472.75</v>
      </c>
      <c r="H190" s="220">
        <f t="shared" si="65"/>
        <v>14626.166666666</v>
      </c>
      <c r="I190" s="85">
        <v>38627.7266666667</v>
      </c>
      <c r="J190" s="85">
        <f t="shared" si="63"/>
        <v>39797.82</v>
      </c>
      <c r="K190" s="85">
        <f t="shared" si="64"/>
        <v>1170.0933333333</v>
      </c>
      <c r="L190" s="85">
        <f t="shared" si="44"/>
        <v>477573.84</v>
      </c>
      <c r="M190" s="15" t="s">
        <v>63</v>
      </c>
      <c r="N190" s="909">
        <v>311673.25</v>
      </c>
      <c r="O190" s="909"/>
      <c r="P190" s="85"/>
      <c r="Q190" s="909">
        <f t="shared" si="45"/>
        <v>0</v>
      </c>
      <c r="R190" s="909">
        <f t="shared" si="46"/>
        <v>0</v>
      </c>
    </row>
    <row r="191" customHeight="1" spans="1:18">
      <c r="A191" s="27">
        <v>9</v>
      </c>
      <c r="B191" s="11" t="s">
        <v>316</v>
      </c>
      <c r="C191" s="12" t="s">
        <v>317</v>
      </c>
      <c r="D191" s="15" t="s">
        <v>66</v>
      </c>
      <c r="E191" s="85">
        <v>482846.583333334</v>
      </c>
      <c r="F191" s="15" t="s">
        <v>66</v>
      </c>
      <c r="G191" s="85">
        <v>482846.583333334</v>
      </c>
      <c r="H191" s="220">
        <f t="shared" si="65"/>
        <v>0</v>
      </c>
      <c r="I191" s="85">
        <v>38613.0133333334</v>
      </c>
      <c r="J191" s="85">
        <f t="shared" si="63"/>
        <v>38627.7266666667</v>
      </c>
      <c r="K191" s="85">
        <f t="shared" si="64"/>
        <v>14.7133333332968</v>
      </c>
      <c r="L191" s="85">
        <f t="shared" si="44"/>
        <v>463532.720000001</v>
      </c>
      <c r="M191" s="15" t="s">
        <v>66</v>
      </c>
      <c r="N191" s="909">
        <v>302987.416666667</v>
      </c>
      <c r="O191" s="909"/>
      <c r="P191" s="85"/>
      <c r="Q191" s="909">
        <f t="shared" si="45"/>
        <v>0</v>
      </c>
      <c r="R191" s="909">
        <f t="shared" si="46"/>
        <v>0</v>
      </c>
    </row>
    <row r="192" customHeight="1" spans="1:18">
      <c r="A192" s="27">
        <v>10</v>
      </c>
      <c r="B192" s="11" t="s">
        <v>318</v>
      </c>
      <c r="C192" s="12" t="s">
        <v>319</v>
      </c>
      <c r="D192" s="15" t="s">
        <v>69</v>
      </c>
      <c r="E192" s="85">
        <v>468828.166666667</v>
      </c>
      <c r="F192" s="15" t="s">
        <v>170</v>
      </c>
      <c r="G192" s="85">
        <v>482662.666666667</v>
      </c>
      <c r="H192" s="220">
        <f t="shared" si="65"/>
        <v>13834.5</v>
      </c>
      <c r="I192" s="85">
        <v>37506.2533333334</v>
      </c>
      <c r="J192" s="85">
        <f t="shared" si="63"/>
        <v>38613.0133333334</v>
      </c>
      <c r="K192" s="85">
        <f t="shared" si="64"/>
        <v>1106.76</v>
      </c>
      <c r="L192" s="85">
        <f t="shared" si="44"/>
        <v>463356.16</v>
      </c>
      <c r="M192" s="15" t="s">
        <v>170</v>
      </c>
      <c r="N192" s="909">
        <v>302878.666666667</v>
      </c>
      <c r="O192" s="909">
        <f>N192*0.025</f>
        <v>7571.96666666667</v>
      </c>
      <c r="P192" s="85">
        <v>7366.57291666668</v>
      </c>
      <c r="Q192" s="909">
        <f t="shared" si="45"/>
        <v>205.393749999995</v>
      </c>
      <c r="R192" s="909">
        <f t="shared" si="46"/>
        <v>90863.6000000001</v>
      </c>
    </row>
    <row r="193" customHeight="1" spans="1:18">
      <c r="A193" s="27">
        <v>11</v>
      </c>
      <c r="B193" s="18" t="s">
        <v>320</v>
      </c>
      <c r="C193" s="4" t="s">
        <v>321</v>
      </c>
      <c r="D193" s="15" t="s">
        <v>131</v>
      </c>
      <c r="E193" s="220">
        <v>454993.583333333</v>
      </c>
      <c r="F193" s="15" t="s">
        <v>69</v>
      </c>
      <c r="G193" s="85">
        <v>468828.166666667</v>
      </c>
      <c r="H193" s="220">
        <f t="shared" si="65"/>
        <v>13834.583333334</v>
      </c>
      <c r="I193" s="85">
        <v>36399.4866666666</v>
      </c>
      <c r="J193" s="85">
        <f t="shared" si="63"/>
        <v>37506.2533333334</v>
      </c>
      <c r="K193" s="85">
        <f t="shared" si="64"/>
        <v>1106.7666666668</v>
      </c>
      <c r="L193" s="85">
        <f t="shared" si="44"/>
        <v>450075.04</v>
      </c>
      <c r="M193" s="15" t="s">
        <v>69</v>
      </c>
      <c r="N193" s="909">
        <v>294662.916666667</v>
      </c>
      <c r="O193" s="909">
        <f>N193*0.025</f>
        <v>7366.57291666668</v>
      </c>
      <c r="P193" s="85">
        <v>7161.17708333333</v>
      </c>
      <c r="Q193" s="909">
        <f t="shared" si="45"/>
        <v>205.395833333345</v>
      </c>
      <c r="R193" s="909">
        <f t="shared" si="46"/>
        <v>88398.8750000001</v>
      </c>
    </row>
    <row r="194" customHeight="1" spans="1:18">
      <c r="A194" s="27">
        <v>12</v>
      </c>
      <c r="B194" s="11" t="s">
        <v>322</v>
      </c>
      <c r="C194" s="4" t="s">
        <v>321</v>
      </c>
      <c r="D194" s="15" t="s">
        <v>504</v>
      </c>
      <c r="E194" s="220">
        <v>441159</v>
      </c>
      <c r="F194" s="15" t="s">
        <v>131</v>
      </c>
      <c r="G194" s="220">
        <v>454993.583333333</v>
      </c>
      <c r="H194" s="220">
        <f t="shared" si="65"/>
        <v>13834.583333333</v>
      </c>
      <c r="I194" s="85">
        <v>35292.72</v>
      </c>
      <c r="J194" s="85">
        <f t="shared" si="63"/>
        <v>36399.4866666666</v>
      </c>
      <c r="K194" s="85">
        <f t="shared" si="64"/>
        <v>1106.7666666666</v>
      </c>
      <c r="L194" s="85">
        <f t="shared" si="44"/>
        <v>436793.84</v>
      </c>
      <c r="M194" s="15" t="s">
        <v>131</v>
      </c>
      <c r="N194" s="909">
        <v>286447.083333333</v>
      </c>
      <c r="O194" s="909"/>
      <c r="P194" s="85"/>
      <c r="Q194" s="909">
        <f t="shared" si="45"/>
        <v>0</v>
      </c>
      <c r="R194" s="909">
        <f t="shared" si="46"/>
        <v>0</v>
      </c>
    </row>
    <row r="195" customHeight="1" spans="1:18">
      <c r="A195" s="27">
        <v>13</v>
      </c>
      <c r="B195" s="11" t="s">
        <v>323</v>
      </c>
      <c r="C195" s="4" t="s">
        <v>321</v>
      </c>
      <c r="D195" s="15" t="s">
        <v>504</v>
      </c>
      <c r="E195" s="220">
        <v>441159</v>
      </c>
      <c r="F195" s="15" t="s">
        <v>131</v>
      </c>
      <c r="G195" s="220">
        <v>454993.583333333</v>
      </c>
      <c r="H195" s="220">
        <f t="shared" si="65"/>
        <v>13834.583333333</v>
      </c>
      <c r="I195" s="85">
        <v>35292.72</v>
      </c>
      <c r="J195" s="85">
        <f t="shared" si="63"/>
        <v>36399.4866666666</v>
      </c>
      <c r="K195" s="85">
        <f t="shared" si="64"/>
        <v>1106.7666666666</v>
      </c>
      <c r="L195" s="85">
        <f t="shared" si="44"/>
        <v>436793.84</v>
      </c>
      <c r="M195" s="15" t="s">
        <v>131</v>
      </c>
      <c r="N195" s="909">
        <v>286447.083333333</v>
      </c>
      <c r="O195" s="909">
        <f>N195*0.025</f>
        <v>7161.17708333333</v>
      </c>
      <c r="P195" s="85">
        <v>6955.78125</v>
      </c>
      <c r="Q195" s="909">
        <f t="shared" si="45"/>
        <v>205.395833333326</v>
      </c>
      <c r="R195" s="909">
        <f t="shared" si="46"/>
        <v>85934.1249999999</v>
      </c>
    </row>
    <row r="196" customHeight="1" spans="1:18">
      <c r="A196" s="27">
        <v>14</v>
      </c>
      <c r="B196" s="11" t="s">
        <v>324</v>
      </c>
      <c r="C196" s="4" t="s">
        <v>321</v>
      </c>
      <c r="D196" s="15" t="s">
        <v>504</v>
      </c>
      <c r="E196" s="220">
        <v>441159</v>
      </c>
      <c r="F196" s="15" t="s">
        <v>131</v>
      </c>
      <c r="G196" s="220">
        <v>454993.583333333</v>
      </c>
      <c r="H196" s="220">
        <f t="shared" si="65"/>
        <v>13834.583333333</v>
      </c>
      <c r="I196" s="85">
        <v>35292.72</v>
      </c>
      <c r="J196" s="85">
        <f t="shared" si="63"/>
        <v>36399.4866666666</v>
      </c>
      <c r="K196" s="85">
        <f t="shared" si="64"/>
        <v>1106.7666666666</v>
      </c>
      <c r="L196" s="85">
        <f t="shared" si="44"/>
        <v>436793.84</v>
      </c>
      <c r="M196" s="15" t="s">
        <v>131</v>
      </c>
      <c r="N196" s="909">
        <v>286447.083333333</v>
      </c>
      <c r="O196" s="909">
        <f>N196*0.025</f>
        <v>7161.17708333333</v>
      </c>
      <c r="P196" s="85">
        <v>6955.78125</v>
      </c>
      <c r="Q196" s="909">
        <f t="shared" si="45"/>
        <v>205.395833333326</v>
      </c>
      <c r="R196" s="909">
        <f t="shared" si="46"/>
        <v>85934.1249999999</v>
      </c>
    </row>
    <row r="197" customHeight="1" spans="1:18">
      <c r="A197" s="27">
        <v>15</v>
      </c>
      <c r="B197" s="11" t="s">
        <v>325</v>
      </c>
      <c r="C197" s="4" t="s">
        <v>321</v>
      </c>
      <c r="D197" s="15" t="s">
        <v>131</v>
      </c>
      <c r="E197" s="220">
        <v>454993.583333333</v>
      </c>
      <c r="F197" s="15" t="s">
        <v>69</v>
      </c>
      <c r="G197" s="85">
        <v>468828.166666667</v>
      </c>
      <c r="H197" s="220">
        <f t="shared" si="65"/>
        <v>13834.583333334</v>
      </c>
      <c r="I197" s="85">
        <v>36399.4866666666</v>
      </c>
      <c r="J197" s="85">
        <f t="shared" si="63"/>
        <v>37506.2533333334</v>
      </c>
      <c r="K197" s="85">
        <f t="shared" si="64"/>
        <v>1106.7666666668</v>
      </c>
      <c r="L197" s="85">
        <f t="shared" si="44"/>
        <v>450075.04</v>
      </c>
      <c r="M197" s="15" t="s">
        <v>69</v>
      </c>
      <c r="N197" s="909">
        <v>294662.916666667</v>
      </c>
      <c r="O197" s="909"/>
      <c r="P197" s="85"/>
      <c r="Q197" s="909">
        <f t="shared" si="45"/>
        <v>0</v>
      </c>
      <c r="R197" s="909">
        <f t="shared" si="46"/>
        <v>0</v>
      </c>
    </row>
    <row r="198" customHeight="1" spans="1:18">
      <c r="A198" s="27">
        <v>16</v>
      </c>
      <c r="B198" s="11" t="s">
        <v>326</v>
      </c>
      <c r="C198" s="12" t="s">
        <v>327</v>
      </c>
      <c r="D198" s="15" t="s">
        <v>77</v>
      </c>
      <c r="E198" s="220">
        <v>390135.833333334</v>
      </c>
      <c r="F198" s="15" t="s">
        <v>151</v>
      </c>
      <c r="G198" s="220">
        <v>399131.166666667</v>
      </c>
      <c r="H198" s="220">
        <f t="shared" si="65"/>
        <v>8995.33333333296</v>
      </c>
      <c r="I198" s="85">
        <v>31210.8666666667</v>
      </c>
      <c r="J198" s="85">
        <f t="shared" si="63"/>
        <v>31930.4933333334</v>
      </c>
      <c r="K198" s="85">
        <f t="shared" si="64"/>
        <v>719.6266666667</v>
      </c>
      <c r="L198" s="85">
        <f t="shared" si="44"/>
        <v>383165.92</v>
      </c>
      <c r="M198" s="15" t="s">
        <v>151</v>
      </c>
      <c r="N198" s="909">
        <v>251467.916666667</v>
      </c>
      <c r="O198" s="909">
        <f>N198*0.025</f>
        <v>6286.69791666668</v>
      </c>
      <c r="P198" s="85">
        <v>6154.27916666668</v>
      </c>
      <c r="Q198" s="909">
        <f t="shared" si="45"/>
        <v>132.418749999995</v>
      </c>
      <c r="R198" s="909">
        <f t="shared" si="46"/>
        <v>75440.3750000001</v>
      </c>
    </row>
    <row r="199" customHeight="1" spans="1:18">
      <c r="A199" s="27">
        <v>17</v>
      </c>
      <c r="B199" s="11" t="s">
        <v>328</v>
      </c>
      <c r="C199" s="12" t="s">
        <v>329</v>
      </c>
      <c r="D199" s="10" t="s">
        <v>80</v>
      </c>
      <c r="E199" s="85">
        <v>372145.333333333</v>
      </c>
      <c r="F199" s="10" t="s">
        <v>80</v>
      </c>
      <c r="G199" s="85">
        <v>372145.333333333</v>
      </c>
      <c r="H199" s="220">
        <f t="shared" si="65"/>
        <v>0</v>
      </c>
      <c r="I199" s="85">
        <v>29771.6266666667</v>
      </c>
      <c r="J199" s="85">
        <f t="shared" si="63"/>
        <v>29771.6266666666</v>
      </c>
      <c r="K199" s="85">
        <f t="shared" si="64"/>
        <v>-9.82254277914762e-11</v>
      </c>
      <c r="L199" s="85">
        <f t="shared" si="44"/>
        <v>357259.52</v>
      </c>
      <c r="M199" s="10" t="s">
        <v>80</v>
      </c>
      <c r="N199" s="909">
        <f>'[21] FGN 2024 MGT Monthly'!$H$39</f>
        <v>235577.833333333</v>
      </c>
      <c r="O199" s="909">
        <f>N199*0.025</f>
        <v>5889.44583333333</v>
      </c>
      <c r="P199" s="85">
        <v>5566.86458333332</v>
      </c>
      <c r="Q199" s="909">
        <f t="shared" si="45"/>
        <v>322.581250000014</v>
      </c>
      <c r="R199" s="909">
        <f t="shared" si="46"/>
        <v>70673.35</v>
      </c>
    </row>
    <row r="200" customHeight="1" spans="1:18">
      <c r="A200" s="27">
        <v>18</v>
      </c>
      <c r="B200" s="11" t="s">
        <v>330</v>
      </c>
      <c r="C200" s="4" t="s">
        <v>331</v>
      </c>
      <c r="D200" s="15" t="s">
        <v>504</v>
      </c>
      <c r="E200" s="220">
        <v>441159</v>
      </c>
      <c r="F200" s="15" t="s">
        <v>131</v>
      </c>
      <c r="G200" s="220">
        <v>454993.583333333</v>
      </c>
      <c r="H200" s="220">
        <f t="shared" si="65"/>
        <v>13834.583333333</v>
      </c>
      <c r="I200" s="85">
        <v>35292.72</v>
      </c>
      <c r="J200" s="85">
        <f t="shared" si="63"/>
        <v>36399.4866666666</v>
      </c>
      <c r="K200" s="85">
        <f t="shared" si="64"/>
        <v>1106.7666666666</v>
      </c>
      <c r="L200" s="85">
        <f t="shared" ref="L200:L249" si="66">J200*12</f>
        <v>436793.839999999</v>
      </c>
      <c r="M200" s="15" t="s">
        <v>131</v>
      </c>
      <c r="N200" s="909">
        <v>286447.083333333</v>
      </c>
      <c r="O200" s="909"/>
      <c r="P200" s="85"/>
      <c r="Q200" s="909">
        <f t="shared" si="45"/>
        <v>0</v>
      </c>
      <c r="R200" s="909">
        <f t="shared" si="46"/>
        <v>0</v>
      </c>
    </row>
    <row r="201" customHeight="1" spans="1:18">
      <c r="A201" s="27">
        <v>19</v>
      </c>
      <c r="B201" s="11" t="s">
        <v>332</v>
      </c>
      <c r="C201" s="4" t="s">
        <v>333</v>
      </c>
      <c r="D201" s="15" t="s">
        <v>80</v>
      </c>
      <c r="E201" s="85">
        <v>372145.333333333</v>
      </c>
      <c r="F201" s="15" t="s">
        <v>74</v>
      </c>
      <c r="G201" s="85">
        <v>381140.666666666</v>
      </c>
      <c r="H201" s="220">
        <f t="shared" si="65"/>
        <v>8995.33333333296</v>
      </c>
      <c r="I201" s="85">
        <v>29771.6266666667</v>
      </c>
      <c r="J201" s="85">
        <f t="shared" si="63"/>
        <v>30491.2533333333</v>
      </c>
      <c r="K201" s="85">
        <f t="shared" si="64"/>
        <v>719.626666666602</v>
      </c>
      <c r="L201" s="85">
        <f t="shared" si="66"/>
        <v>365895.04</v>
      </c>
      <c r="M201" s="15" t="s">
        <v>74</v>
      </c>
      <c r="N201" s="909">
        <v>240874.583333333</v>
      </c>
      <c r="O201" s="909">
        <f>N201*0.025</f>
        <v>6021.86458333332</v>
      </c>
      <c r="P201" s="85">
        <v>5690.39375</v>
      </c>
      <c r="Q201" s="909">
        <f t="shared" ref="Q201:Q249" si="67">O201-P201</f>
        <v>331.470833333325</v>
      </c>
      <c r="R201" s="909">
        <f t="shared" ref="R201:R249" si="68">O201*12</f>
        <v>72262.3749999999</v>
      </c>
    </row>
    <row r="202" customHeight="1" spans="1:18">
      <c r="A202" s="27">
        <v>20</v>
      </c>
      <c r="B202" s="11" t="s">
        <v>334</v>
      </c>
      <c r="C202" s="4" t="s">
        <v>331</v>
      </c>
      <c r="D202" s="15" t="s">
        <v>504</v>
      </c>
      <c r="E202" s="220">
        <v>441159</v>
      </c>
      <c r="F202" s="15" t="s">
        <v>131</v>
      </c>
      <c r="G202" s="220">
        <v>454993.583333333</v>
      </c>
      <c r="H202" s="220">
        <f t="shared" si="65"/>
        <v>13834.583333333</v>
      </c>
      <c r="I202" s="85">
        <v>35292.72</v>
      </c>
      <c r="J202" s="85">
        <f t="shared" si="63"/>
        <v>36399.4866666666</v>
      </c>
      <c r="K202" s="85">
        <f t="shared" si="64"/>
        <v>1106.7666666666</v>
      </c>
      <c r="L202" s="85">
        <f t="shared" si="66"/>
        <v>436793.839999999</v>
      </c>
      <c r="M202" s="15" t="s">
        <v>131</v>
      </c>
      <c r="N202" s="909">
        <v>286447.083333333</v>
      </c>
      <c r="O202" s="909">
        <f>N202*0.025</f>
        <v>7161.17708333333</v>
      </c>
      <c r="P202" s="85">
        <v>7722.5375</v>
      </c>
      <c r="Q202" s="909">
        <f t="shared" si="67"/>
        <v>-561.360416666675</v>
      </c>
      <c r="R202" s="909">
        <f t="shared" si="68"/>
        <v>85934.1249999999</v>
      </c>
    </row>
    <row r="203" customHeight="1" spans="1:18">
      <c r="A203" s="27">
        <v>21</v>
      </c>
      <c r="B203" s="11" t="s">
        <v>335</v>
      </c>
      <c r="C203" s="4" t="s">
        <v>336</v>
      </c>
      <c r="D203" s="15" t="s">
        <v>80</v>
      </c>
      <c r="E203" s="85">
        <v>372145.333333333</v>
      </c>
      <c r="F203" s="15" t="s">
        <v>80</v>
      </c>
      <c r="G203" s="85">
        <v>372145.333333333</v>
      </c>
      <c r="H203" s="220">
        <f t="shared" si="65"/>
        <v>0</v>
      </c>
      <c r="I203" s="85">
        <v>29771.6266666667</v>
      </c>
      <c r="J203" s="85">
        <f t="shared" si="63"/>
        <v>29771.6266666666</v>
      </c>
      <c r="K203" s="85">
        <f t="shared" si="64"/>
        <v>-9.82254277914762e-11</v>
      </c>
      <c r="L203" s="85">
        <f t="shared" si="66"/>
        <v>357259.519999999</v>
      </c>
      <c r="M203" s="15" t="s">
        <v>80</v>
      </c>
      <c r="N203" s="909">
        <f>'[21] FGN 2024 MGT Monthly'!$H$39</f>
        <v>235577.833333333</v>
      </c>
      <c r="O203" s="909"/>
      <c r="P203" s="85"/>
      <c r="Q203" s="909">
        <f t="shared" si="67"/>
        <v>0</v>
      </c>
      <c r="R203" s="909">
        <f t="shared" si="68"/>
        <v>0</v>
      </c>
    </row>
    <row r="204" customHeight="1" spans="1:18">
      <c r="A204" s="27">
        <v>22</v>
      </c>
      <c r="B204" s="18" t="s">
        <v>337</v>
      </c>
      <c r="C204" s="12" t="s">
        <v>338</v>
      </c>
      <c r="D204" s="15" t="s">
        <v>99</v>
      </c>
      <c r="E204" s="220">
        <v>338711.666666667</v>
      </c>
      <c r="F204" s="15" t="s">
        <v>88</v>
      </c>
      <c r="G204" s="220">
        <v>338711.666666667</v>
      </c>
      <c r="H204" s="220">
        <f t="shared" si="65"/>
        <v>0</v>
      </c>
      <c r="I204" s="85">
        <v>27096.9333333334</v>
      </c>
      <c r="J204" s="85">
        <f t="shared" si="63"/>
        <v>27096.9333333334</v>
      </c>
      <c r="K204" s="85">
        <f t="shared" si="64"/>
        <v>0</v>
      </c>
      <c r="L204" s="85">
        <f t="shared" si="66"/>
        <v>325163.200000001</v>
      </c>
      <c r="M204" s="15" t="s">
        <v>88</v>
      </c>
      <c r="N204" s="909">
        <v>222674.583333333</v>
      </c>
      <c r="O204" s="909">
        <f>N204*0.025</f>
        <v>5566.86458333332</v>
      </c>
      <c r="P204" s="85">
        <v>5443.33541666668</v>
      </c>
      <c r="Q204" s="909">
        <f t="shared" si="67"/>
        <v>123.529166666644</v>
      </c>
      <c r="R204" s="909">
        <f t="shared" si="68"/>
        <v>66802.3749999999</v>
      </c>
    </row>
    <row r="205" customHeight="1" spans="1:18">
      <c r="A205" s="27">
        <v>23</v>
      </c>
      <c r="B205" s="18" t="s">
        <v>339</v>
      </c>
      <c r="C205" s="12" t="s">
        <v>338</v>
      </c>
      <c r="D205" s="15" t="s">
        <v>99</v>
      </c>
      <c r="E205" s="220">
        <v>338711.666666667</v>
      </c>
      <c r="F205" s="15" t="s">
        <v>88</v>
      </c>
      <c r="G205" s="85">
        <v>347016.166666666</v>
      </c>
      <c r="H205" s="220">
        <f t="shared" si="65"/>
        <v>8304.49999999901</v>
      </c>
      <c r="I205" s="85">
        <v>27096.9333333334</v>
      </c>
      <c r="J205" s="85">
        <f t="shared" si="63"/>
        <v>27761.2933333333</v>
      </c>
      <c r="K205" s="85">
        <f t="shared" si="64"/>
        <v>664.359999999899</v>
      </c>
      <c r="L205" s="85">
        <f t="shared" si="66"/>
        <v>333135.52</v>
      </c>
      <c r="M205" s="15" t="s">
        <v>88</v>
      </c>
      <c r="N205" s="909">
        <v>222674.583333333</v>
      </c>
      <c r="O205" s="909"/>
      <c r="P205" s="85"/>
      <c r="Q205" s="909">
        <f t="shared" si="67"/>
        <v>0</v>
      </c>
      <c r="R205" s="909">
        <f t="shared" si="68"/>
        <v>0</v>
      </c>
    </row>
    <row r="206" s="1" customFormat="1" ht="18.75" customHeight="1" spans="1:18">
      <c r="A206" s="27">
        <v>24</v>
      </c>
      <c r="B206" s="18" t="s">
        <v>340</v>
      </c>
      <c r="C206" s="4" t="s">
        <v>341</v>
      </c>
      <c r="D206" s="10" t="s">
        <v>344</v>
      </c>
      <c r="E206" s="85">
        <v>330407.083333333</v>
      </c>
      <c r="F206" s="10" t="s">
        <v>99</v>
      </c>
      <c r="G206" s="220">
        <v>338711.666666667</v>
      </c>
      <c r="H206" s="220">
        <f t="shared" si="65"/>
        <v>8304.58333333395</v>
      </c>
      <c r="I206" s="85">
        <v>26432.5666666667</v>
      </c>
      <c r="J206" s="85">
        <f t="shared" si="63"/>
        <v>27096.9333333334</v>
      </c>
      <c r="K206" s="85">
        <f t="shared" si="64"/>
        <v>664.366666666701</v>
      </c>
      <c r="L206" s="85">
        <f t="shared" si="66"/>
        <v>325163.200000001</v>
      </c>
      <c r="M206" s="10" t="s">
        <v>99</v>
      </c>
      <c r="N206" s="909">
        <v>217733.416666667</v>
      </c>
      <c r="O206" s="909"/>
      <c r="P206" s="85"/>
      <c r="Q206" s="909">
        <f t="shared" si="67"/>
        <v>0</v>
      </c>
      <c r="R206" s="909">
        <f t="shared" si="68"/>
        <v>0</v>
      </c>
    </row>
    <row r="207" s="1" customFormat="1" customHeight="1" spans="1:18">
      <c r="A207" s="27">
        <v>25</v>
      </c>
      <c r="B207" s="18" t="s">
        <v>342</v>
      </c>
      <c r="C207" s="12" t="s">
        <v>343</v>
      </c>
      <c r="D207" s="15" t="s">
        <v>344</v>
      </c>
      <c r="E207" s="85">
        <v>330407.083333333</v>
      </c>
      <c r="F207" s="15" t="s">
        <v>344</v>
      </c>
      <c r="G207" s="85">
        <v>330407.083333333</v>
      </c>
      <c r="H207" s="220">
        <f t="shared" si="65"/>
        <v>0</v>
      </c>
      <c r="I207" s="687">
        <v>26432.5666666667</v>
      </c>
      <c r="J207" s="85">
        <f t="shared" si="63"/>
        <v>26432.5666666666</v>
      </c>
      <c r="K207" s="85">
        <f t="shared" si="64"/>
        <v>-9.82254277914762e-11</v>
      </c>
      <c r="L207" s="85">
        <f t="shared" si="66"/>
        <v>317190.799999999</v>
      </c>
      <c r="M207" s="15" t="s">
        <v>344</v>
      </c>
      <c r="N207" s="85">
        <f>'[21] FGN 2024 MGT Monthly'!$H$38</f>
        <v>212792.166666667</v>
      </c>
      <c r="O207" s="909"/>
      <c r="P207" s="4"/>
      <c r="Q207" s="909">
        <f t="shared" si="67"/>
        <v>0</v>
      </c>
      <c r="R207" s="909">
        <f t="shared" si="68"/>
        <v>0</v>
      </c>
    </row>
    <row r="208" customHeight="1" spans="1:18">
      <c r="A208" s="27">
        <v>26</v>
      </c>
      <c r="B208" s="18" t="s">
        <v>345</v>
      </c>
      <c r="C208" s="12" t="s">
        <v>346</v>
      </c>
      <c r="D208" s="15" t="s">
        <v>108</v>
      </c>
      <c r="E208" s="85">
        <v>301910.75</v>
      </c>
      <c r="F208" s="15" t="s">
        <v>105</v>
      </c>
      <c r="G208" s="85">
        <v>308920.666666667</v>
      </c>
      <c r="H208" s="220">
        <f t="shared" si="65"/>
        <v>7009.91666666698</v>
      </c>
      <c r="I208" s="85">
        <v>24152.86</v>
      </c>
      <c r="J208" s="85">
        <f t="shared" si="63"/>
        <v>24713.6533333334</v>
      </c>
      <c r="K208" s="85">
        <f t="shared" si="64"/>
        <v>560.7933333334</v>
      </c>
      <c r="L208" s="85">
        <f t="shared" si="66"/>
        <v>296563.840000001</v>
      </c>
      <c r="M208" s="15" t="s">
        <v>105</v>
      </c>
      <c r="N208" s="909">
        <v>200549.416666667</v>
      </c>
      <c r="O208" s="909">
        <f>N208*0.025</f>
        <v>5013.73541666668</v>
      </c>
      <c r="P208" s="916">
        <v>4909.11041666668</v>
      </c>
      <c r="Q208" s="909">
        <f t="shared" si="67"/>
        <v>104.624999999995</v>
      </c>
      <c r="R208" s="909">
        <f t="shared" si="68"/>
        <v>60164.8250000001</v>
      </c>
    </row>
    <row r="209" customHeight="1" spans="1:18">
      <c r="A209" s="27">
        <v>27</v>
      </c>
      <c r="B209" s="18" t="s">
        <v>347</v>
      </c>
      <c r="C209" s="12" t="s">
        <v>348</v>
      </c>
      <c r="D209" s="15" t="s">
        <v>108</v>
      </c>
      <c r="E209" s="85">
        <v>301910.75</v>
      </c>
      <c r="F209" s="15" t="s">
        <v>105</v>
      </c>
      <c r="G209" s="85">
        <v>308920.666666667</v>
      </c>
      <c r="H209" s="220">
        <f t="shared" si="65"/>
        <v>7009.91666666698</v>
      </c>
      <c r="I209" s="85">
        <v>24152.86</v>
      </c>
      <c r="J209" s="85">
        <f t="shared" si="63"/>
        <v>24713.6533333334</v>
      </c>
      <c r="K209" s="85">
        <f t="shared" si="64"/>
        <v>560.7933333334</v>
      </c>
      <c r="L209" s="85">
        <f t="shared" si="66"/>
        <v>296563.840000001</v>
      </c>
      <c r="M209" s="15" t="s">
        <v>105</v>
      </c>
      <c r="N209" s="909">
        <v>200549.416666667</v>
      </c>
      <c r="O209" s="909">
        <f>N209*0.025</f>
        <v>5013.73541666668</v>
      </c>
      <c r="P209" s="85">
        <v>4909.11041666668</v>
      </c>
      <c r="Q209" s="909">
        <f t="shared" si="67"/>
        <v>104.624999999995</v>
      </c>
      <c r="R209" s="909">
        <f t="shared" si="68"/>
        <v>60164.8250000001</v>
      </c>
    </row>
    <row r="210" customHeight="1" spans="1:18">
      <c r="A210" s="27">
        <v>28</v>
      </c>
      <c r="B210" s="18" t="s">
        <v>349</v>
      </c>
      <c r="C210" s="12" t="s">
        <v>350</v>
      </c>
      <c r="D210" s="15" t="s">
        <v>108</v>
      </c>
      <c r="E210" s="85">
        <v>301910.75</v>
      </c>
      <c r="F210" s="15" t="s">
        <v>105</v>
      </c>
      <c r="G210" s="85">
        <v>308920.666666667</v>
      </c>
      <c r="H210" s="220">
        <f t="shared" si="65"/>
        <v>7009.91666666698</v>
      </c>
      <c r="I210" s="85">
        <v>24152.86</v>
      </c>
      <c r="J210" s="85">
        <f t="shared" si="63"/>
        <v>24713.6533333334</v>
      </c>
      <c r="K210" s="85">
        <f t="shared" si="64"/>
        <v>560.7933333334</v>
      </c>
      <c r="L210" s="85">
        <f t="shared" si="66"/>
        <v>296563.840000001</v>
      </c>
      <c r="M210" s="15" t="s">
        <v>105</v>
      </c>
      <c r="N210" s="909">
        <v>200549.416666667</v>
      </c>
      <c r="O210" s="909">
        <f>N210*0.025</f>
        <v>5013.73541666668</v>
      </c>
      <c r="P210" s="85">
        <v>4909.11041666668</v>
      </c>
      <c r="Q210" s="909">
        <f t="shared" si="67"/>
        <v>104.624999999995</v>
      </c>
      <c r="R210" s="909">
        <f t="shared" si="68"/>
        <v>60164.8250000001</v>
      </c>
    </row>
    <row r="211" customHeight="1" spans="1:18">
      <c r="A211" s="27">
        <v>29</v>
      </c>
      <c r="B211" s="18" t="s">
        <v>351</v>
      </c>
      <c r="C211" s="4" t="s">
        <v>87</v>
      </c>
      <c r="D211" s="10" t="s">
        <v>344</v>
      </c>
      <c r="E211" s="85">
        <v>330408.083333333</v>
      </c>
      <c r="F211" s="10" t="s">
        <v>344</v>
      </c>
      <c r="G211" s="85">
        <v>330408.083333333</v>
      </c>
      <c r="H211" s="220">
        <f t="shared" si="65"/>
        <v>0</v>
      </c>
      <c r="I211" s="85">
        <v>24713.6533333334</v>
      </c>
      <c r="J211" s="85">
        <f t="shared" si="63"/>
        <v>26432.6466666666</v>
      </c>
      <c r="K211" s="85">
        <f t="shared" si="64"/>
        <v>1718.9933333332</v>
      </c>
      <c r="L211" s="85">
        <f t="shared" si="66"/>
        <v>317191.759999999</v>
      </c>
      <c r="M211" s="10" t="s">
        <v>344</v>
      </c>
      <c r="N211" s="85">
        <f>'[21] FGN 2024 MGT Monthly'!$H$38</f>
        <v>212792.166666667</v>
      </c>
      <c r="O211" s="909">
        <f>N211*0.025</f>
        <v>5319.80416666667</v>
      </c>
      <c r="P211" s="85">
        <v>5013.73541666668</v>
      </c>
      <c r="Q211" s="909">
        <f t="shared" si="67"/>
        <v>306.068749999987</v>
      </c>
      <c r="R211" s="909">
        <f t="shared" si="68"/>
        <v>63837.65</v>
      </c>
    </row>
    <row r="212" customHeight="1" spans="1:18">
      <c r="A212" s="27">
        <v>30</v>
      </c>
      <c r="B212" s="18" t="s">
        <v>352</v>
      </c>
      <c r="C212" s="12" t="s">
        <v>348</v>
      </c>
      <c r="D212" s="15" t="s">
        <v>108</v>
      </c>
      <c r="E212" s="85">
        <v>301910.75</v>
      </c>
      <c r="F212" s="15" t="s">
        <v>105</v>
      </c>
      <c r="G212" s="85">
        <v>308920.666666667</v>
      </c>
      <c r="H212" s="220">
        <f t="shared" si="65"/>
        <v>7009.91666666698</v>
      </c>
      <c r="I212" s="85">
        <v>24152.86</v>
      </c>
      <c r="J212" s="85">
        <f t="shared" si="63"/>
        <v>24713.6533333334</v>
      </c>
      <c r="K212" s="85">
        <f t="shared" si="64"/>
        <v>560.7933333334</v>
      </c>
      <c r="L212" s="85">
        <f t="shared" si="66"/>
        <v>296563.840000001</v>
      </c>
      <c r="M212" s="15" t="s">
        <v>105</v>
      </c>
      <c r="N212" s="909">
        <v>200549.416666667</v>
      </c>
      <c r="O212" s="909">
        <f>N212*0.025</f>
        <v>5013.73541666668</v>
      </c>
      <c r="P212" s="85">
        <v>4909.11041666668</v>
      </c>
      <c r="Q212" s="909">
        <f t="shared" si="67"/>
        <v>104.624999999995</v>
      </c>
      <c r="R212" s="909">
        <f t="shared" si="68"/>
        <v>60164.8250000001</v>
      </c>
    </row>
    <row r="213" customHeight="1" spans="1:18">
      <c r="A213" s="27">
        <v>31</v>
      </c>
      <c r="B213" s="18" t="s">
        <v>353</v>
      </c>
      <c r="C213" s="12" t="s">
        <v>354</v>
      </c>
      <c r="D213" s="15" t="s">
        <v>111</v>
      </c>
      <c r="E213" s="676">
        <v>294900.833333334</v>
      </c>
      <c r="F213" s="15" t="s">
        <v>108</v>
      </c>
      <c r="G213" s="85">
        <v>301910.75</v>
      </c>
      <c r="H213" s="220">
        <f t="shared" si="65"/>
        <v>7009.91666666599</v>
      </c>
      <c r="I213" s="687">
        <v>23592.0666666667</v>
      </c>
      <c r="J213" s="85">
        <f t="shared" si="63"/>
        <v>24152.86</v>
      </c>
      <c r="K213" s="85">
        <f t="shared" si="64"/>
        <v>560.793333333302</v>
      </c>
      <c r="L213" s="85">
        <f t="shared" si="66"/>
        <v>289834.32</v>
      </c>
      <c r="M213" s="15" t="s">
        <v>108</v>
      </c>
      <c r="N213" s="909">
        <v>196364.416666667</v>
      </c>
      <c r="O213" s="909"/>
      <c r="P213" s="85"/>
      <c r="Q213" s="909">
        <f t="shared" si="67"/>
        <v>0</v>
      </c>
      <c r="R213" s="909">
        <f t="shared" si="68"/>
        <v>0</v>
      </c>
    </row>
    <row r="214" customHeight="1" spans="1:18">
      <c r="A214" s="27">
        <v>32</v>
      </c>
      <c r="B214" s="18" t="s">
        <v>355</v>
      </c>
      <c r="C214" s="12" t="s">
        <v>354</v>
      </c>
      <c r="D214" s="15" t="s">
        <v>111</v>
      </c>
      <c r="E214" s="676">
        <v>294900.833333334</v>
      </c>
      <c r="F214" s="15" t="s">
        <v>108</v>
      </c>
      <c r="G214" s="85">
        <v>301910.75</v>
      </c>
      <c r="H214" s="220">
        <f t="shared" si="65"/>
        <v>7009.91666666599</v>
      </c>
      <c r="I214" s="687">
        <v>23592.0666666667</v>
      </c>
      <c r="J214" s="85">
        <f t="shared" si="63"/>
        <v>24152.86</v>
      </c>
      <c r="K214" s="85">
        <f t="shared" si="64"/>
        <v>560.793333333302</v>
      </c>
      <c r="L214" s="85">
        <f t="shared" si="66"/>
        <v>289834.32</v>
      </c>
      <c r="M214" s="15" t="s">
        <v>108</v>
      </c>
      <c r="N214" s="909">
        <v>196364.416666667</v>
      </c>
      <c r="O214" s="909"/>
      <c r="P214" s="85"/>
      <c r="Q214" s="909">
        <f t="shared" si="67"/>
        <v>0</v>
      </c>
      <c r="R214" s="909">
        <f t="shared" si="68"/>
        <v>0</v>
      </c>
    </row>
    <row r="215" s="1" customFormat="1" customHeight="1" spans="1:18">
      <c r="A215" s="27">
        <v>33</v>
      </c>
      <c r="B215" s="18" t="s">
        <v>486</v>
      </c>
      <c r="C215" s="12" t="s">
        <v>509</v>
      </c>
      <c r="D215" s="15" t="s">
        <v>276</v>
      </c>
      <c r="E215" s="85">
        <v>287890.916666667</v>
      </c>
      <c r="F215" s="15" t="s">
        <v>276</v>
      </c>
      <c r="G215" s="676">
        <v>294900.833333334</v>
      </c>
      <c r="H215" s="220"/>
      <c r="I215" s="687"/>
      <c r="J215" s="85"/>
      <c r="K215" s="1015"/>
      <c r="L215" s="1015"/>
      <c r="M215" s="1016"/>
      <c r="N215" s="676"/>
      <c r="O215" s="909"/>
      <c r="P215" s="4"/>
      <c r="Q215" s="909">
        <f t="shared" si="67"/>
        <v>0</v>
      </c>
      <c r="R215" s="909">
        <f t="shared" si="68"/>
        <v>0</v>
      </c>
    </row>
    <row r="216" s="1" customFormat="1" customHeight="1" spans="1:18">
      <c r="A216" s="27">
        <v>34</v>
      </c>
      <c r="B216" s="18" t="s">
        <v>356</v>
      </c>
      <c r="C216" s="12" t="s">
        <v>343</v>
      </c>
      <c r="D216" s="15" t="s">
        <v>276</v>
      </c>
      <c r="E216" s="85">
        <v>287890.916666667</v>
      </c>
      <c r="F216" s="15" t="s">
        <v>111</v>
      </c>
      <c r="G216" s="676">
        <v>294900.833333334</v>
      </c>
      <c r="H216" s="220">
        <f t="shared" ref="H216:H249" si="69">G216-E216</f>
        <v>7009.91666666704</v>
      </c>
      <c r="I216" s="687">
        <v>23031.2733333333</v>
      </c>
      <c r="J216" s="85">
        <f t="shared" si="63"/>
        <v>23592.0666666667</v>
      </c>
      <c r="K216" s="85">
        <f t="shared" si="64"/>
        <v>560.793333333397</v>
      </c>
      <c r="L216" s="85">
        <f t="shared" si="66"/>
        <v>283104.8</v>
      </c>
      <c r="M216" s="15" t="s">
        <v>111</v>
      </c>
      <c r="N216" s="909">
        <v>192179.416666667</v>
      </c>
      <c r="O216" s="909"/>
      <c r="P216" s="4"/>
      <c r="Q216" s="909">
        <f t="shared" si="67"/>
        <v>0</v>
      </c>
      <c r="R216" s="909">
        <f t="shared" si="68"/>
        <v>0</v>
      </c>
    </row>
    <row r="217" s="1" customFormat="1" customHeight="1" spans="1:18">
      <c r="A217" s="27">
        <v>35</v>
      </c>
      <c r="B217" s="18" t="s">
        <v>357</v>
      </c>
      <c r="C217" s="12" t="s">
        <v>343</v>
      </c>
      <c r="D217" s="15" t="s">
        <v>276</v>
      </c>
      <c r="E217" s="85">
        <v>287890.916666667</v>
      </c>
      <c r="F217" s="15" t="s">
        <v>111</v>
      </c>
      <c r="G217" s="676">
        <v>294900.833333334</v>
      </c>
      <c r="H217" s="220">
        <f t="shared" si="69"/>
        <v>7009.91666666704</v>
      </c>
      <c r="I217" s="687">
        <v>23031.2733333333</v>
      </c>
      <c r="J217" s="85">
        <f t="shared" si="63"/>
        <v>23592.0666666667</v>
      </c>
      <c r="K217" s="85">
        <f t="shared" si="64"/>
        <v>560.793333333397</v>
      </c>
      <c r="L217" s="85">
        <f t="shared" si="66"/>
        <v>283104.8</v>
      </c>
      <c r="M217" s="15" t="s">
        <v>111</v>
      </c>
      <c r="N217" s="909">
        <v>192179.416666667</v>
      </c>
      <c r="O217" s="909"/>
      <c r="P217" s="4"/>
      <c r="Q217" s="909">
        <f t="shared" si="67"/>
        <v>0</v>
      </c>
      <c r="R217" s="909">
        <f t="shared" si="68"/>
        <v>0</v>
      </c>
    </row>
    <row r="218" s="1" customFormat="1" customHeight="1" spans="1:18">
      <c r="A218" s="27">
        <v>36</v>
      </c>
      <c r="B218" s="18" t="s">
        <v>358</v>
      </c>
      <c r="C218" s="12" t="s">
        <v>343</v>
      </c>
      <c r="D218" s="15" t="s">
        <v>276</v>
      </c>
      <c r="E218" s="85">
        <v>287890.916666667</v>
      </c>
      <c r="F218" s="15" t="s">
        <v>111</v>
      </c>
      <c r="G218" s="676">
        <v>294900.833333334</v>
      </c>
      <c r="H218" s="220">
        <f t="shared" si="69"/>
        <v>7009.91666666704</v>
      </c>
      <c r="I218" s="687">
        <v>23031.2733333333</v>
      </c>
      <c r="J218" s="85">
        <f t="shared" si="63"/>
        <v>23592.0666666667</v>
      </c>
      <c r="K218" s="85">
        <f t="shared" si="64"/>
        <v>560.793333333397</v>
      </c>
      <c r="L218" s="85">
        <f t="shared" si="66"/>
        <v>283104.8</v>
      </c>
      <c r="M218" s="15" t="s">
        <v>111</v>
      </c>
      <c r="N218" s="909">
        <v>192179.416666667</v>
      </c>
      <c r="O218" s="909"/>
      <c r="P218" s="4"/>
      <c r="Q218" s="909">
        <f t="shared" si="67"/>
        <v>0</v>
      </c>
      <c r="R218" s="909">
        <f t="shared" si="68"/>
        <v>0</v>
      </c>
    </row>
    <row r="219" s="1" customFormat="1" customHeight="1" spans="1:18">
      <c r="A219" s="27">
        <v>37</v>
      </c>
      <c r="B219" s="18" t="s">
        <v>359</v>
      </c>
      <c r="C219" s="12" t="s">
        <v>343</v>
      </c>
      <c r="D219" s="15" t="s">
        <v>276</v>
      </c>
      <c r="E219" s="85">
        <v>287890.916666667</v>
      </c>
      <c r="F219" s="15" t="s">
        <v>276</v>
      </c>
      <c r="G219" s="85">
        <v>287890.916666667</v>
      </c>
      <c r="H219" s="220">
        <f t="shared" si="69"/>
        <v>0</v>
      </c>
      <c r="I219" s="687">
        <v>23031.2733333333</v>
      </c>
      <c r="J219" s="85">
        <f t="shared" si="63"/>
        <v>23031.2733333334</v>
      </c>
      <c r="K219" s="85">
        <f t="shared" si="64"/>
        <v>9.82254277914762e-11</v>
      </c>
      <c r="L219" s="85">
        <f t="shared" si="66"/>
        <v>276375.280000001</v>
      </c>
      <c r="M219" s="15" t="s">
        <v>276</v>
      </c>
      <c r="N219" s="909">
        <v>187994.416666667</v>
      </c>
      <c r="O219" s="909"/>
      <c r="P219" s="4"/>
      <c r="Q219" s="909">
        <f t="shared" si="67"/>
        <v>0</v>
      </c>
      <c r="R219" s="909">
        <f t="shared" si="68"/>
        <v>0</v>
      </c>
    </row>
    <row r="220" s="1" customFormat="1" customHeight="1" spans="1:18">
      <c r="A220" s="27">
        <v>38</v>
      </c>
      <c r="B220" s="18" t="s">
        <v>360</v>
      </c>
      <c r="C220" s="12" t="s">
        <v>343</v>
      </c>
      <c r="D220" s="15" t="s">
        <v>276</v>
      </c>
      <c r="E220" s="85">
        <v>287890.916666667</v>
      </c>
      <c r="F220" s="15" t="s">
        <v>276</v>
      </c>
      <c r="G220" s="85">
        <v>287890.916666667</v>
      </c>
      <c r="H220" s="220">
        <f t="shared" si="69"/>
        <v>0</v>
      </c>
      <c r="I220" s="687">
        <v>23031.2733333333</v>
      </c>
      <c r="J220" s="85">
        <f t="shared" si="63"/>
        <v>23031.2733333334</v>
      </c>
      <c r="K220" s="85">
        <f t="shared" si="64"/>
        <v>9.82254277914762e-11</v>
      </c>
      <c r="L220" s="85">
        <f t="shared" si="66"/>
        <v>276375.280000001</v>
      </c>
      <c r="M220" s="15" t="s">
        <v>276</v>
      </c>
      <c r="N220" s="909">
        <v>187994.416666667</v>
      </c>
      <c r="O220" s="909"/>
      <c r="P220" s="4"/>
      <c r="Q220" s="909">
        <f t="shared" si="67"/>
        <v>0</v>
      </c>
      <c r="R220" s="909">
        <f t="shared" si="68"/>
        <v>0</v>
      </c>
    </row>
    <row r="221" customHeight="1" spans="1:18">
      <c r="A221" s="27">
        <v>39</v>
      </c>
      <c r="B221" s="11" t="s">
        <v>361</v>
      </c>
      <c r="C221" s="12" t="s">
        <v>362</v>
      </c>
      <c r="D221" s="15" t="s">
        <v>375</v>
      </c>
      <c r="E221" s="226">
        <v>237717.166666666</v>
      </c>
      <c r="F221" s="15" t="s">
        <v>363</v>
      </c>
      <c r="G221" s="226">
        <v>255667.083333333</v>
      </c>
      <c r="H221" s="220">
        <f t="shared" si="69"/>
        <v>17949.9166666673</v>
      </c>
      <c r="I221" s="85">
        <v>19017.3733333333</v>
      </c>
      <c r="J221" s="85">
        <f t="shared" si="63"/>
        <v>20453.3666666666</v>
      </c>
      <c r="K221" s="85">
        <f t="shared" si="64"/>
        <v>1435.9933333333</v>
      </c>
      <c r="L221" s="85">
        <f t="shared" si="66"/>
        <v>245440.399999999</v>
      </c>
      <c r="M221" s="15" t="s">
        <v>363</v>
      </c>
      <c r="N221" s="226">
        <f>'[21] FGN 2024 MGT Monthly'!$K$36</f>
        <v>170118.25</v>
      </c>
      <c r="O221" s="909">
        <f>N221*0.025</f>
        <v>4252.95625</v>
      </c>
      <c r="P221" s="85">
        <v>3982.21458333333</v>
      </c>
      <c r="Q221" s="909">
        <f t="shared" si="67"/>
        <v>270.74166666667</v>
      </c>
      <c r="R221" s="909">
        <f t="shared" si="68"/>
        <v>51035.475</v>
      </c>
    </row>
    <row r="222" customHeight="1" spans="1:18">
      <c r="A222" s="27">
        <v>40</v>
      </c>
      <c r="B222" s="11" t="s">
        <v>364</v>
      </c>
      <c r="C222" s="12" t="s">
        <v>362</v>
      </c>
      <c r="D222" s="15" t="s">
        <v>375</v>
      </c>
      <c r="E222" s="226">
        <v>237717.166666666</v>
      </c>
      <c r="F222" s="15" t="s">
        <v>363</v>
      </c>
      <c r="G222" s="226">
        <v>255667.083333333</v>
      </c>
      <c r="H222" s="220">
        <f t="shared" si="69"/>
        <v>17949.9166666673</v>
      </c>
      <c r="I222" s="85">
        <v>19017.3733333333</v>
      </c>
      <c r="J222" s="85">
        <f t="shared" si="63"/>
        <v>20453.3666666666</v>
      </c>
      <c r="K222" s="85">
        <f t="shared" si="64"/>
        <v>1435.9933333333</v>
      </c>
      <c r="L222" s="85">
        <f t="shared" si="66"/>
        <v>245440.399999999</v>
      </c>
      <c r="M222" s="15" t="s">
        <v>363</v>
      </c>
      <c r="N222" s="226">
        <v>170118.25</v>
      </c>
      <c r="O222" s="909"/>
      <c r="P222" s="85"/>
      <c r="Q222" s="909">
        <f t="shared" si="67"/>
        <v>0</v>
      </c>
      <c r="R222" s="909">
        <f t="shared" si="68"/>
        <v>0</v>
      </c>
    </row>
    <row r="223" customHeight="1" spans="1:18">
      <c r="A223" s="27">
        <v>41</v>
      </c>
      <c r="B223" s="11" t="s">
        <v>365</v>
      </c>
      <c r="C223" s="12" t="s">
        <v>362</v>
      </c>
      <c r="D223" s="15" t="s">
        <v>375</v>
      </c>
      <c r="E223" s="226">
        <v>237717.166666666</v>
      </c>
      <c r="F223" s="15" t="s">
        <v>363</v>
      </c>
      <c r="G223" s="226">
        <v>255667.083333333</v>
      </c>
      <c r="H223" s="220">
        <f t="shared" si="69"/>
        <v>17949.9166666673</v>
      </c>
      <c r="I223" s="85">
        <v>19017.3733333333</v>
      </c>
      <c r="J223" s="85">
        <f t="shared" si="63"/>
        <v>20453.3666666666</v>
      </c>
      <c r="K223" s="85">
        <f t="shared" si="64"/>
        <v>1435.9933333333</v>
      </c>
      <c r="L223" s="85">
        <f t="shared" si="66"/>
        <v>245440.399999999</v>
      </c>
      <c r="M223" s="15" t="s">
        <v>363</v>
      </c>
      <c r="N223" s="226">
        <v>170118.25</v>
      </c>
      <c r="O223" s="909">
        <f>N223*0.025</f>
        <v>4252.95625</v>
      </c>
      <c r="P223" s="85">
        <v>3982.21458333333</v>
      </c>
      <c r="Q223" s="909">
        <f t="shared" si="67"/>
        <v>270.74166666667</v>
      </c>
      <c r="R223" s="909">
        <f t="shared" si="68"/>
        <v>51035.475</v>
      </c>
    </row>
    <row r="224" customHeight="1" spans="1:18">
      <c r="A224" s="27">
        <v>42</v>
      </c>
      <c r="B224" s="11" t="s">
        <v>366</v>
      </c>
      <c r="C224" s="12" t="s">
        <v>362</v>
      </c>
      <c r="D224" s="15" t="s">
        <v>375</v>
      </c>
      <c r="E224" s="226">
        <v>237717.166666666</v>
      </c>
      <c r="F224" s="15" t="s">
        <v>363</v>
      </c>
      <c r="G224" s="226">
        <v>255667.083333333</v>
      </c>
      <c r="H224" s="220">
        <f t="shared" si="69"/>
        <v>17949.9166666673</v>
      </c>
      <c r="I224" s="85">
        <v>19017.3733333333</v>
      </c>
      <c r="J224" s="85">
        <f t="shared" si="63"/>
        <v>20453.3666666666</v>
      </c>
      <c r="K224" s="85">
        <f t="shared" si="64"/>
        <v>1435.9933333333</v>
      </c>
      <c r="L224" s="85">
        <f t="shared" si="66"/>
        <v>245440.399999999</v>
      </c>
      <c r="M224" s="15" t="s">
        <v>363</v>
      </c>
      <c r="N224" s="226">
        <v>170118.25</v>
      </c>
      <c r="O224" s="909"/>
      <c r="P224" s="85"/>
      <c r="Q224" s="909">
        <f t="shared" si="67"/>
        <v>0</v>
      </c>
      <c r="R224" s="909">
        <f t="shared" si="68"/>
        <v>0</v>
      </c>
    </row>
    <row r="225" customHeight="1" spans="1:18">
      <c r="A225" s="27">
        <v>43</v>
      </c>
      <c r="B225" s="11" t="s">
        <v>367</v>
      </c>
      <c r="C225" s="12" t="s">
        <v>362</v>
      </c>
      <c r="D225" s="15" t="s">
        <v>388</v>
      </c>
      <c r="E225" s="226">
        <v>231733.833333334</v>
      </c>
      <c r="F225" s="15" t="s">
        <v>368</v>
      </c>
      <c r="G225" s="226">
        <v>249683.75</v>
      </c>
      <c r="H225" s="220">
        <f t="shared" si="69"/>
        <v>17949.916666666</v>
      </c>
      <c r="I225" s="85">
        <v>18538.7066666667</v>
      </c>
      <c r="J225" s="85">
        <f t="shared" si="63"/>
        <v>19974.7</v>
      </c>
      <c r="K225" s="85">
        <f t="shared" si="64"/>
        <v>1435.9933333333</v>
      </c>
      <c r="L225" s="85">
        <f t="shared" si="66"/>
        <v>239696.4</v>
      </c>
      <c r="M225" s="15" t="s">
        <v>368</v>
      </c>
      <c r="N225" s="226">
        <f>'[21] FGN 2024 MGT Monthly'!$J$36</f>
        <v>166508.333333333</v>
      </c>
      <c r="O225" s="909"/>
      <c r="P225" s="85"/>
      <c r="Q225" s="909">
        <f t="shared" si="67"/>
        <v>0</v>
      </c>
      <c r="R225" s="909">
        <f t="shared" si="68"/>
        <v>0</v>
      </c>
    </row>
    <row r="226" customHeight="1" spans="1:18">
      <c r="A226" s="27">
        <v>44</v>
      </c>
      <c r="B226" s="11" t="s">
        <v>369</v>
      </c>
      <c r="C226" s="12" t="s">
        <v>362</v>
      </c>
      <c r="D226" s="15" t="s">
        <v>388</v>
      </c>
      <c r="E226" s="226">
        <v>231733.833333334</v>
      </c>
      <c r="F226" s="15" t="s">
        <v>368</v>
      </c>
      <c r="G226" s="226">
        <v>249683.75</v>
      </c>
      <c r="H226" s="220">
        <f t="shared" si="69"/>
        <v>17949.916666666</v>
      </c>
      <c r="I226" s="85">
        <v>18538.7066666667</v>
      </c>
      <c r="J226" s="85">
        <f t="shared" si="63"/>
        <v>19974.7</v>
      </c>
      <c r="K226" s="85">
        <f t="shared" si="64"/>
        <v>1435.9933333333</v>
      </c>
      <c r="L226" s="85">
        <f t="shared" si="66"/>
        <v>239696.4</v>
      </c>
      <c r="M226" s="15" t="s">
        <v>368</v>
      </c>
      <c r="N226" s="226">
        <f>'[21] FGN 2024 MGT Monthly'!$J$36</f>
        <v>166508.333333333</v>
      </c>
      <c r="O226" s="909"/>
      <c r="P226" s="85"/>
      <c r="Q226" s="909">
        <f t="shared" si="67"/>
        <v>0</v>
      </c>
      <c r="R226" s="909">
        <f t="shared" si="68"/>
        <v>0</v>
      </c>
    </row>
    <row r="227" customHeight="1" spans="1:18">
      <c r="A227" s="27">
        <v>45</v>
      </c>
      <c r="B227" s="14" t="s">
        <v>370</v>
      </c>
      <c r="C227" s="12" t="s">
        <v>362</v>
      </c>
      <c r="D227" s="15" t="s">
        <v>388</v>
      </c>
      <c r="E227" s="226">
        <v>231733.833333334</v>
      </c>
      <c r="F227" s="15" t="s">
        <v>368</v>
      </c>
      <c r="G227" s="226">
        <v>249683.75</v>
      </c>
      <c r="H227" s="220">
        <f t="shared" si="69"/>
        <v>17949.916666666</v>
      </c>
      <c r="I227" s="85">
        <v>18538.7066666667</v>
      </c>
      <c r="J227" s="85">
        <f t="shared" si="63"/>
        <v>19974.7</v>
      </c>
      <c r="K227" s="85">
        <f t="shared" si="64"/>
        <v>1435.9933333333</v>
      </c>
      <c r="L227" s="85">
        <f t="shared" si="66"/>
        <v>239696.4</v>
      </c>
      <c r="M227" s="15" t="s">
        <v>368</v>
      </c>
      <c r="N227" s="226">
        <f>'[21] FGN 2024 MGT Monthly'!$J$36</f>
        <v>166508.333333333</v>
      </c>
      <c r="O227" s="909"/>
      <c r="P227" s="85"/>
      <c r="Q227" s="909">
        <f t="shared" si="67"/>
        <v>0</v>
      </c>
      <c r="R227" s="909">
        <f t="shared" si="68"/>
        <v>0</v>
      </c>
    </row>
    <row r="228" customHeight="1" spans="1:18">
      <c r="A228" s="27">
        <v>46</v>
      </c>
      <c r="B228" s="11" t="s">
        <v>371</v>
      </c>
      <c r="C228" s="12" t="s">
        <v>362</v>
      </c>
      <c r="D228" s="15" t="s">
        <v>388</v>
      </c>
      <c r="E228" s="226">
        <v>231733.833333334</v>
      </c>
      <c r="F228" s="15" t="s">
        <v>368</v>
      </c>
      <c r="G228" s="226">
        <v>249683.75</v>
      </c>
      <c r="H228" s="220">
        <f t="shared" si="69"/>
        <v>17949.916666666</v>
      </c>
      <c r="I228" s="85">
        <v>18538.7066666667</v>
      </c>
      <c r="J228" s="85">
        <f t="shared" si="63"/>
        <v>19974.7</v>
      </c>
      <c r="K228" s="85">
        <f t="shared" si="64"/>
        <v>1435.9933333333</v>
      </c>
      <c r="L228" s="85">
        <f t="shared" si="66"/>
        <v>239696.4</v>
      </c>
      <c r="M228" s="15" t="s">
        <v>368</v>
      </c>
      <c r="N228" s="226">
        <f>'[21] FGN 2024 MGT Monthly'!$J$36</f>
        <v>166508.333333333</v>
      </c>
      <c r="O228" s="909"/>
      <c r="P228" s="85"/>
      <c r="Q228" s="909">
        <f t="shared" si="67"/>
        <v>0</v>
      </c>
      <c r="R228" s="909">
        <f t="shared" si="68"/>
        <v>0</v>
      </c>
    </row>
    <row r="229" customHeight="1" spans="1:18">
      <c r="A229" s="27">
        <v>47</v>
      </c>
      <c r="B229" s="18" t="s">
        <v>372</v>
      </c>
      <c r="C229" s="12" t="s">
        <v>362</v>
      </c>
      <c r="D229" s="15" t="s">
        <v>388</v>
      </c>
      <c r="E229" s="226">
        <v>231733.833333334</v>
      </c>
      <c r="F229" s="15" t="s">
        <v>368</v>
      </c>
      <c r="G229" s="226">
        <v>249683.75</v>
      </c>
      <c r="H229" s="220">
        <f t="shared" si="69"/>
        <v>17949.916666666</v>
      </c>
      <c r="I229" s="85">
        <v>18538.7066666667</v>
      </c>
      <c r="J229" s="85">
        <f t="shared" si="63"/>
        <v>19974.7</v>
      </c>
      <c r="K229" s="85">
        <f t="shared" si="64"/>
        <v>1435.9933333333</v>
      </c>
      <c r="L229" s="85">
        <f t="shared" si="66"/>
        <v>239696.4</v>
      </c>
      <c r="M229" s="15" t="s">
        <v>368</v>
      </c>
      <c r="N229" s="226">
        <f>'[21] FGN 2024 MGT Monthly'!$J$36</f>
        <v>166508.333333333</v>
      </c>
      <c r="O229" s="909"/>
      <c r="P229" s="85"/>
      <c r="Q229" s="909">
        <f t="shared" si="67"/>
        <v>0</v>
      </c>
      <c r="R229" s="909">
        <f t="shared" si="68"/>
        <v>0</v>
      </c>
    </row>
    <row r="230" customHeight="1" spans="1:18">
      <c r="A230" s="27">
        <v>48</v>
      </c>
      <c r="B230" s="11" t="s">
        <v>373</v>
      </c>
      <c r="C230" s="12" t="s">
        <v>374</v>
      </c>
      <c r="D230" s="15" t="s">
        <v>510</v>
      </c>
      <c r="E230" s="85">
        <v>219767.333333333</v>
      </c>
      <c r="F230" s="15" t="s">
        <v>375</v>
      </c>
      <c r="G230" s="85">
        <v>237717.166666667</v>
      </c>
      <c r="H230" s="220">
        <f t="shared" si="69"/>
        <v>17949.8333333337</v>
      </c>
      <c r="I230" s="85">
        <v>17581.3866666666</v>
      </c>
      <c r="J230" s="85">
        <f t="shared" si="63"/>
        <v>19017.3733333334</v>
      </c>
      <c r="K230" s="85">
        <f t="shared" si="64"/>
        <v>1435.9866666668</v>
      </c>
      <c r="L230" s="85">
        <f t="shared" si="66"/>
        <v>228208.480000001</v>
      </c>
      <c r="M230" s="15" t="s">
        <v>375</v>
      </c>
      <c r="N230" s="921">
        <v>159288.583333333</v>
      </c>
      <c r="O230" s="909"/>
      <c r="P230" s="85"/>
      <c r="Q230" s="909">
        <f t="shared" si="67"/>
        <v>0</v>
      </c>
      <c r="R230" s="909">
        <f t="shared" si="68"/>
        <v>0</v>
      </c>
    </row>
    <row r="231" customHeight="1" spans="1:18">
      <c r="A231" s="27">
        <v>49</v>
      </c>
      <c r="B231" s="11" t="s">
        <v>376</v>
      </c>
      <c r="C231" s="12" t="s">
        <v>374</v>
      </c>
      <c r="D231" s="15" t="s">
        <v>510</v>
      </c>
      <c r="E231" s="85">
        <v>219767.333333333</v>
      </c>
      <c r="F231" s="15" t="s">
        <v>375</v>
      </c>
      <c r="G231" s="85">
        <v>237717.166666667</v>
      </c>
      <c r="H231" s="220">
        <f t="shared" si="69"/>
        <v>17949.8333333337</v>
      </c>
      <c r="I231" s="85">
        <v>17581.3866666666</v>
      </c>
      <c r="J231" s="85">
        <f t="shared" si="63"/>
        <v>19017.3733333334</v>
      </c>
      <c r="K231" s="85">
        <f t="shared" si="64"/>
        <v>1435.9866666668</v>
      </c>
      <c r="L231" s="85">
        <f t="shared" si="66"/>
        <v>228208.480000001</v>
      </c>
      <c r="M231" s="15" t="s">
        <v>375</v>
      </c>
      <c r="N231" s="921">
        <v>159288.583333333</v>
      </c>
      <c r="O231" s="909"/>
      <c r="P231" s="85"/>
      <c r="Q231" s="909">
        <f t="shared" si="67"/>
        <v>0</v>
      </c>
      <c r="R231" s="909">
        <f t="shared" si="68"/>
        <v>0</v>
      </c>
    </row>
    <row r="232" customHeight="1" spans="1:18">
      <c r="A232" s="27">
        <v>50</v>
      </c>
      <c r="B232" s="18" t="s">
        <v>377</v>
      </c>
      <c r="C232" s="12" t="s">
        <v>374</v>
      </c>
      <c r="D232" s="15" t="s">
        <v>381</v>
      </c>
      <c r="E232" s="85">
        <v>225750.583333333</v>
      </c>
      <c r="F232" s="15" t="s">
        <v>378</v>
      </c>
      <c r="G232" s="85">
        <f>'[21]Peculiar Allowance'!$I$36+'[21] FGN 2024 MGT Monthly'!$I$36</f>
        <v>243700.416666667</v>
      </c>
      <c r="H232" s="220">
        <f t="shared" si="69"/>
        <v>17949.8333333337</v>
      </c>
      <c r="I232" s="85">
        <v>18060.0466666666</v>
      </c>
      <c r="J232" s="85">
        <f t="shared" si="63"/>
        <v>19496.0333333334</v>
      </c>
      <c r="K232" s="85">
        <f t="shared" si="64"/>
        <v>1435.9866666668</v>
      </c>
      <c r="L232" s="85">
        <f t="shared" si="66"/>
        <v>233952.400000001</v>
      </c>
      <c r="M232" s="15" t="s">
        <v>378</v>
      </c>
      <c r="N232" s="85">
        <f>'[21] FGN 2024 MGT Monthly'!$I$36</f>
        <v>162898.416666667</v>
      </c>
      <c r="O232" s="909"/>
      <c r="P232" s="85"/>
      <c r="Q232" s="909">
        <f t="shared" si="67"/>
        <v>0</v>
      </c>
      <c r="R232" s="909">
        <f t="shared" si="68"/>
        <v>0</v>
      </c>
    </row>
    <row r="233" customHeight="1" spans="1:18">
      <c r="A233" s="27">
        <v>51</v>
      </c>
      <c r="B233" s="11" t="s">
        <v>379</v>
      </c>
      <c r="C233" s="12" t="s">
        <v>380</v>
      </c>
      <c r="D233" s="15" t="s">
        <v>511</v>
      </c>
      <c r="E233" s="85">
        <v>213784</v>
      </c>
      <c r="F233" s="15" t="s">
        <v>381</v>
      </c>
      <c r="G233" s="85">
        <v>225750.583333333</v>
      </c>
      <c r="H233" s="220">
        <f t="shared" si="69"/>
        <v>11966.583333333</v>
      </c>
      <c r="I233" s="85">
        <v>17102.72</v>
      </c>
      <c r="J233" s="85">
        <f t="shared" si="63"/>
        <v>18060.0466666666</v>
      </c>
      <c r="K233" s="85">
        <f t="shared" si="64"/>
        <v>957.326666666599</v>
      </c>
      <c r="L233" s="85">
        <f t="shared" si="66"/>
        <v>216720.559999999</v>
      </c>
      <c r="M233" s="15" t="s">
        <v>381</v>
      </c>
      <c r="N233" s="85">
        <v>152068.833333333</v>
      </c>
      <c r="O233" s="909"/>
      <c r="P233" s="85"/>
      <c r="Q233" s="909">
        <f t="shared" si="67"/>
        <v>0</v>
      </c>
      <c r="R233" s="909">
        <f t="shared" si="68"/>
        <v>0</v>
      </c>
    </row>
    <row r="234" customHeight="1" spans="1:18">
      <c r="A234" s="27">
        <v>52</v>
      </c>
      <c r="B234" s="11" t="s">
        <v>382</v>
      </c>
      <c r="C234" s="12" t="s">
        <v>380</v>
      </c>
      <c r="D234" s="15" t="s">
        <v>511</v>
      </c>
      <c r="E234" s="85">
        <v>213784</v>
      </c>
      <c r="F234" s="15" t="s">
        <v>381</v>
      </c>
      <c r="G234" s="85">
        <v>225750.583333333</v>
      </c>
      <c r="H234" s="220">
        <f t="shared" si="69"/>
        <v>11966.583333333</v>
      </c>
      <c r="I234" s="85">
        <v>17102.72</v>
      </c>
      <c r="J234" s="85">
        <f t="shared" si="63"/>
        <v>18060.0466666666</v>
      </c>
      <c r="K234" s="85">
        <f t="shared" si="64"/>
        <v>957.326666666599</v>
      </c>
      <c r="L234" s="85">
        <f t="shared" si="66"/>
        <v>216720.559999999</v>
      </c>
      <c r="M234" s="15" t="s">
        <v>381</v>
      </c>
      <c r="N234" s="85">
        <v>152068.833333333</v>
      </c>
      <c r="O234" s="909"/>
      <c r="P234" s="85"/>
      <c r="Q234" s="909">
        <f t="shared" si="67"/>
        <v>0</v>
      </c>
      <c r="R234" s="909">
        <f t="shared" si="68"/>
        <v>0</v>
      </c>
    </row>
    <row r="235" customHeight="1" spans="1:18">
      <c r="A235" s="27">
        <v>53</v>
      </c>
      <c r="B235" s="11" t="s">
        <v>383</v>
      </c>
      <c r="C235" s="12" t="s">
        <v>380</v>
      </c>
      <c r="D235" s="15" t="s">
        <v>511</v>
      </c>
      <c r="E235" s="85">
        <v>213784</v>
      </c>
      <c r="F235" s="15" t="s">
        <v>381</v>
      </c>
      <c r="G235" s="85">
        <v>225750.583333333</v>
      </c>
      <c r="H235" s="220">
        <f t="shared" si="69"/>
        <v>11966.583333333</v>
      </c>
      <c r="I235" s="85">
        <v>17102.72</v>
      </c>
      <c r="J235" s="85">
        <f t="shared" si="63"/>
        <v>18060.0466666666</v>
      </c>
      <c r="K235" s="85">
        <f t="shared" si="64"/>
        <v>957.326666666599</v>
      </c>
      <c r="L235" s="85">
        <f t="shared" si="66"/>
        <v>216720.559999999</v>
      </c>
      <c r="M235" s="15" t="s">
        <v>381</v>
      </c>
      <c r="N235" s="85">
        <v>152068.833333333</v>
      </c>
      <c r="O235" s="909"/>
      <c r="P235" s="85"/>
      <c r="Q235" s="909">
        <f t="shared" si="67"/>
        <v>0</v>
      </c>
      <c r="R235" s="909">
        <f t="shared" si="68"/>
        <v>0</v>
      </c>
    </row>
    <row r="236" customHeight="1" spans="1:18">
      <c r="A236" s="27">
        <v>54</v>
      </c>
      <c r="B236" s="11" t="s">
        <v>384</v>
      </c>
      <c r="C236" s="12" t="s">
        <v>380</v>
      </c>
      <c r="D236" s="15" t="s">
        <v>511</v>
      </c>
      <c r="E236" s="85">
        <v>213784</v>
      </c>
      <c r="F236" s="15" t="s">
        <v>381</v>
      </c>
      <c r="G236" s="85">
        <v>225750.583333333</v>
      </c>
      <c r="H236" s="220">
        <f t="shared" si="69"/>
        <v>11966.583333333</v>
      </c>
      <c r="I236" s="85">
        <v>17102.72</v>
      </c>
      <c r="J236" s="85">
        <f t="shared" si="63"/>
        <v>18060.0466666666</v>
      </c>
      <c r="K236" s="85">
        <f t="shared" si="64"/>
        <v>957.326666666599</v>
      </c>
      <c r="L236" s="85">
        <f t="shared" si="66"/>
        <v>216720.559999999</v>
      </c>
      <c r="M236" s="15" t="s">
        <v>381</v>
      </c>
      <c r="N236" s="85">
        <v>152068.833333333</v>
      </c>
      <c r="O236" s="909"/>
      <c r="P236" s="85"/>
      <c r="Q236" s="909">
        <f t="shared" si="67"/>
        <v>0</v>
      </c>
      <c r="R236" s="909">
        <f t="shared" si="68"/>
        <v>0</v>
      </c>
    </row>
    <row r="237" customHeight="1" spans="1:18">
      <c r="A237" s="27">
        <v>55</v>
      </c>
      <c r="B237" s="11" t="s">
        <v>385</v>
      </c>
      <c r="C237" s="12" t="s">
        <v>380</v>
      </c>
      <c r="D237" s="15" t="s">
        <v>511</v>
      </c>
      <c r="E237" s="85">
        <v>213784</v>
      </c>
      <c r="F237" s="15" t="s">
        <v>381</v>
      </c>
      <c r="G237" s="85">
        <v>225750.583333333</v>
      </c>
      <c r="H237" s="220">
        <f t="shared" si="69"/>
        <v>11966.583333333</v>
      </c>
      <c r="I237" s="85">
        <v>17102.72</v>
      </c>
      <c r="J237" s="85">
        <f t="shared" si="63"/>
        <v>18060.0466666666</v>
      </c>
      <c r="K237" s="85">
        <f t="shared" si="64"/>
        <v>957.326666666599</v>
      </c>
      <c r="L237" s="85">
        <f t="shared" si="66"/>
        <v>216720.559999999</v>
      </c>
      <c r="M237" s="15" t="s">
        <v>381</v>
      </c>
      <c r="N237" s="85">
        <v>152068.833333333</v>
      </c>
      <c r="O237" s="909"/>
      <c r="P237" s="85"/>
      <c r="Q237" s="909">
        <f t="shared" si="67"/>
        <v>0</v>
      </c>
      <c r="R237" s="909">
        <f t="shared" si="68"/>
        <v>0</v>
      </c>
    </row>
    <row r="238" customHeight="1" spans="1:18">
      <c r="A238" s="27">
        <v>56</v>
      </c>
      <c r="B238" s="11" t="s">
        <v>386</v>
      </c>
      <c r="C238" s="12" t="s">
        <v>380</v>
      </c>
      <c r="D238" s="15" t="s">
        <v>511</v>
      </c>
      <c r="E238" s="85">
        <v>213784</v>
      </c>
      <c r="F238" s="15" t="s">
        <v>381</v>
      </c>
      <c r="G238" s="85">
        <v>225750.583333333</v>
      </c>
      <c r="H238" s="220">
        <f t="shared" si="69"/>
        <v>11966.583333333</v>
      </c>
      <c r="I238" s="85">
        <v>17102.72</v>
      </c>
      <c r="J238" s="85">
        <f t="shared" si="63"/>
        <v>18060.0466666666</v>
      </c>
      <c r="K238" s="85">
        <f t="shared" si="64"/>
        <v>957.326666666599</v>
      </c>
      <c r="L238" s="85">
        <f t="shared" si="66"/>
        <v>216720.559999999</v>
      </c>
      <c r="M238" s="15" t="s">
        <v>381</v>
      </c>
      <c r="N238" s="85">
        <v>152068.833333333</v>
      </c>
      <c r="O238" s="909"/>
      <c r="P238" s="85"/>
      <c r="Q238" s="909">
        <f t="shared" si="67"/>
        <v>0</v>
      </c>
      <c r="R238" s="909">
        <f t="shared" si="68"/>
        <v>0</v>
      </c>
    </row>
    <row r="239" customHeight="1" spans="1:18">
      <c r="A239" s="27">
        <v>57</v>
      </c>
      <c r="B239" s="18" t="s">
        <v>387</v>
      </c>
      <c r="C239" s="12" t="s">
        <v>380</v>
      </c>
      <c r="D239" s="15" t="s">
        <v>511</v>
      </c>
      <c r="E239" s="85">
        <v>213784</v>
      </c>
      <c r="F239" s="15" t="s">
        <v>388</v>
      </c>
      <c r="G239" s="85">
        <v>231733.833333334</v>
      </c>
      <c r="H239" s="220">
        <f t="shared" si="69"/>
        <v>17949.833333334</v>
      </c>
      <c r="I239" s="85">
        <v>17102.72</v>
      </c>
      <c r="J239" s="85">
        <f t="shared" si="63"/>
        <v>18538.7066666667</v>
      </c>
      <c r="K239" s="85">
        <f t="shared" si="64"/>
        <v>1435.9866666667</v>
      </c>
      <c r="L239" s="85">
        <f t="shared" si="66"/>
        <v>222464.48</v>
      </c>
      <c r="M239" s="15" t="s">
        <v>388</v>
      </c>
      <c r="N239" s="921">
        <v>155678.666666667</v>
      </c>
      <c r="O239" s="909"/>
      <c r="P239" s="85"/>
      <c r="Q239" s="909">
        <f t="shared" si="67"/>
        <v>0</v>
      </c>
      <c r="R239" s="909">
        <f t="shared" si="68"/>
        <v>0</v>
      </c>
    </row>
    <row r="240" customHeight="1" spans="1:18">
      <c r="A240" s="27">
        <v>58</v>
      </c>
      <c r="B240" s="18" t="s">
        <v>389</v>
      </c>
      <c r="C240" s="12" t="s">
        <v>390</v>
      </c>
      <c r="D240" s="15" t="s">
        <v>512</v>
      </c>
      <c r="E240" s="85">
        <v>146356.75</v>
      </c>
      <c r="F240" s="15" t="s">
        <v>391</v>
      </c>
      <c r="G240" s="85">
        <v>149217.75</v>
      </c>
      <c r="H240" s="220">
        <f t="shared" si="69"/>
        <v>2861</v>
      </c>
      <c r="I240" s="85">
        <v>11708.54</v>
      </c>
      <c r="J240" s="85">
        <f t="shared" si="63"/>
        <v>11937.42</v>
      </c>
      <c r="K240" s="85">
        <f t="shared" si="64"/>
        <v>228.879999999999</v>
      </c>
      <c r="L240" s="85">
        <f t="shared" si="66"/>
        <v>143249.04</v>
      </c>
      <c r="M240" s="15" t="s">
        <v>391</v>
      </c>
      <c r="N240" s="85">
        <f>'[21] FGN 2024 MGT Monthly'!$M$34</f>
        <v>102619.5</v>
      </c>
      <c r="O240" s="909"/>
      <c r="P240" s="85"/>
      <c r="Q240" s="909">
        <f t="shared" si="67"/>
        <v>0</v>
      </c>
      <c r="R240" s="909">
        <f t="shared" si="68"/>
        <v>0</v>
      </c>
    </row>
    <row r="241" customHeight="1" spans="1:18">
      <c r="A241" s="27">
        <v>59</v>
      </c>
      <c r="B241" s="11" t="s">
        <v>392</v>
      </c>
      <c r="C241" s="12" t="s">
        <v>393</v>
      </c>
      <c r="D241" s="15" t="s">
        <v>512</v>
      </c>
      <c r="E241" s="85">
        <v>146356.75</v>
      </c>
      <c r="F241" s="15" t="s">
        <v>391</v>
      </c>
      <c r="G241" s="85">
        <v>149217.75</v>
      </c>
      <c r="H241" s="220">
        <f t="shared" si="69"/>
        <v>2861</v>
      </c>
      <c r="I241" s="85">
        <v>11708.54</v>
      </c>
      <c r="J241" s="85">
        <f t="shared" si="63"/>
        <v>11937.42</v>
      </c>
      <c r="K241" s="85">
        <f t="shared" si="64"/>
        <v>228.879999999999</v>
      </c>
      <c r="L241" s="85">
        <f t="shared" si="66"/>
        <v>143249.04</v>
      </c>
      <c r="M241" s="15" t="s">
        <v>391</v>
      </c>
      <c r="N241" s="85">
        <f>'[21] FGN 2024 MGT Monthly'!$M$34</f>
        <v>102619.5</v>
      </c>
      <c r="O241" s="909"/>
      <c r="P241" s="85"/>
      <c r="Q241" s="909">
        <f t="shared" si="67"/>
        <v>0</v>
      </c>
      <c r="R241" s="909">
        <f t="shared" si="68"/>
        <v>0</v>
      </c>
    </row>
    <row r="242" customHeight="1" spans="1:18">
      <c r="A242" s="27">
        <v>60</v>
      </c>
      <c r="B242" s="18" t="s">
        <v>394</v>
      </c>
      <c r="C242" s="12" t="s">
        <v>395</v>
      </c>
      <c r="D242" s="15" t="s">
        <v>398</v>
      </c>
      <c r="E242" s="85">
        <v>137773.5</v>
      </c>
      <c r="F242" s="15" t="s">
        <v>396</v>
      </c>
      <c r="G242" s="85">
        <v>140634.666666667</v>
      </c>
      <c r="H242" s="220">
        <f t="shared" si="69"/>
        <v>2861.16666666701</v>
      </c>
      <c r="I242" s="85">
        <v>11021.88</v>
      </c>
      <c r="J242" s="85">
        <f t="shared" si="63"/>
        <v>11250.7733333334</v>
      </c>
      <c r="K242" s="85">
        <f t="shared" si="64"/>
        <v>228.893333333401</v>
      </c>
      <c r="L242" s="85">
        <f t="shared" si="66"/>
        <v>135009.280000001</v>
      </c>
      <c r="M242" s="15" t="s">
        <v>396</v>
      </c>
      <c r="N242" s="85">
        <f>'[21] FGN 2024 MGT Monthly'!$J$34</f>
        <v>97920.6666666667</v>
      </c>
      <c r="O242" s="909"/>
      <c r="P242" s="85"/>
      <c r="Q242" s="909">
        <f t="shared" si="67"/>
        <v>0</v>
      </c>
      <c r="R242" s="909">
        <f t="shared" si="68"/>
        <v>0</v>
      </c>
    </row>
    <row r="243" customHeight="1" spans="1:18">
      <c r="A243" s="27">
        <v>61</v>
      </c>
      <c r="B243" s="18" t="s">
        <v>397</v>
      </c>
      <c r="C243" s="12" t="s">
        <v>395</v>
      </c>
      <c r="D243" s="15" t="s">
        <v>400</v>
      </c>
      <c r="E243" s="85">
        <v>134912.666666667</v>
      </c>
      <c r="F243" s="15" t="s">
        <v>398</v>
      </c>
      <c r="G243" s="85">
        <v>137773.5</v>
      </c>
      <c r="H243" s="220">
        <f t="shared" si="69"/>
        <v>2860.83333333299</v>
      </c>
      <c r="I243" s="85">
        <v>10793.0133333333</v>
      </c>
      <c r="J243" s="85">
        <f t="shared" si="63"/>
        <v>11021.88</v>
      </c>
      <c r="K243" s="85">
        <f t="shared" si="64"/>
        <v>228.8666666667</v>
      </c>
      <c r="L243" s="85">
        <f t="shared" si="66"/>
        <v>132262.56</v>
      </c>
      <c r="M243" s="15" t="s">
        <v>398</v>
      </c>
      <c r="N243" s="921">
        <v>96354.25</v>
      </c>
      <c r="O243" s="909"/>
      <c r="P243" s="85"/>
      <c r="Q243" s="909">
        <f t="shared" si="67"/>
        <v>0</v>
      </c>
      <c r="R243" s="909">
        <f t="shared" si="68"/>
        <v>0</v>
      </c>
    </row>
    <row r="244" customHeight="1" spans="1:18">
      <c r="A244" s="27">
        <v>62</v>
      </c>
      <c r="B244" s="18" t="s">
        <v>399</v>
      </c>
      <c r="C244" s="12" t="s">
        <v>395</v>
      </c>
      <c r="D244" s="15" t="s">
        <v>400</v>
      </c>
      <c r="E244" s="85">
        <v>134912.666666667</v>
      </c>
      <c r="F244" s="15" t="s">
        <v>400</v>
      </c>
      <c r="G244" s="85">
        <v>134912.666666667</v>
      </c>
      <c r="H244" s="220">
        <f t="shared" si="69"/>
        <v>0</v>
      </c>
      <c r="I244" s="85">
        <v>10793.0133333333</v>
      </c>
      <c r="J244" s="85">
        <f t="shared" si="63"/>
        <v>10793.0133333334</v>
      </c>
      <c r="K244" s="85">
        <f t="shared" si="64"/>
        <v>1.00044417195022e-10</v>
      </c>
      <c r="L244" s="85">
        <f t="shared" si="66"/>
        <v>129516.160000001</v>
      </c>
      <c r="M244" s="15" t="s">
        <v>400</v>
      </c>
      <c r="N244" s="921">
        <v>94788.1666666667</v>
      </c>
      <c r="O244" s="909"/>
      <c r="P244" s="85"/>
      <c r="Q244" s="909">
        <f t="shared" si="67"/>
        <v>0</v>
      </c>
      <c r="R244" s="909">
        <f t="shared" si="68"/>
        <v>0</v>
      </c>
    </row>
    <row r="245" customHeight="1" spans="1:18">
      <c r="A245" s="27">
        <v>63</v>
      </c>
      <c r="B245" s="18" t="s">
        <v>401</v>
      </c>
      <c r="C245" s="12" t="s">
        <v>402</v>
      </c>
      <c r="D245" s="15" t="s">
        <v>513</v>
      </c>
      <c r="E245" s="85">
        <v>129049.416666667</v>
      </c>
      <c r="F245" s="15" t="s">
        <v>403</v>
      </c>
      <c r="G245" s="85">
        <v>131512.166666667</v>
      </c>
      <c r="H245" s="220">
        <f t="shared" si="69"/>
        <v>2462.74999999965</v>
      </c>
      <c r="I245" s="85">
        <v>10323.9533333333</v>
      </c>
      <c r="J245" s="85">
        <f t="shared" si="63"/>
        <v>10520.9733333334</v>
      </c>
      <c r="K245" s="85">
        <f t="shared" si="64"/>
        <v>197.0200000001</v>
      </c>
      <c r="L245" s="85">
        <f t="shared" si="66"/>
        <v>126251.680000001</v>
      </c>
      <c r="M245" s="15" t="s">
        <v>403</v>
      </c>
      <c r="N245" s="85">
        <f>'[21] FGN 2024 MGT Monthly'!$K$33</f>
        <v>92926.5</v>
      </c>
      <c r="O245" s="909"/>
      <c r="P245" s="85"/>
      <c r="Q245" s="909">
        <f t="shared" si="67"/>
        <v>0</v>
      </c>
      <c r="R245" s="909">
        <f t="shared" si="68"/>
        <v>0</v>
      </c>
    </row>
    <row r="246" customHeight="1" spans="1:18">
      <c r="A246" s="27">
        <v>64</v>
      </c>
      <c r="B246" s="18" t="s">
        <v>404</v>
      </c>
      <c r="C246" s="12" t="s">
        <v>402</v>
      </c>
      <c r="D246" s="15" t="s">
        <v>513</v>
      </c>
      <c r="E246" s="85">
        <v>129049.416666667</v>
      </c>
      <c r="F246" s="15" t="s">
        <v>403</v>
      </c>
      <c r="G246" s="85">
        <v>131512.166666667</v>
      </c>
      <c r="H246" s="220">
        <f t="shared" si="69"/>
        <v>2462.74999999965</v>
      </c>
      <c r="I246" s="85">
        <v>10323.9533333333</v>
      </c>
      <c r="J246" s="85">
        <f t="shared" si="63"/>
        <v>10520.9733333334</v>
      </c>
      <c r="K246" s="85">
        <f t="shared" si="64"/>
        <v>197.0200000001</v>
      </c>
      <c r="L246" s="85">
        <f t="shared" si="66"/>
        <v>126251.680000001</v>
      </c>
      <c r="M246" s="15" t="s">
        <v>403</v>
      </c>
      <c r="N246" s="85">
        <f>'[21] FGN 2024 MGT Monthly'!$K$33</f>
        <v>92926.5</v>
      </c>
      <c r="O246" s="909"/>
      <c r="P246" s="85"/>
      <c r="Q246" s="909">
        <f t="shared" si="67"/>
        <v>0</v>
      </c>
      <c r="R246" s="909">
        <f t="shared" si="68"/>
        <v>0</v>
      </c>
    </row>
    <row r="247" customHeight="1" spans="1:18">
      <c r="A247" s="27">
        <v>65</v>
      </c>
      <c r="B247" s="18" t="s">
        <v>405</v>
      </c>
      <c r="C247" s="12" t="s">
        <v>402</v>
      </c>
      <c r="D247" s="15" t="s">
        <v>513</v>
      </c>
      <c r="E247" s="85">
        <v>129049.416666667</v>
      </c>
      <c r="F247" s="15" t="s">
        <v>403</v>
      </c>
      <c r="G247" s="85">
        <v>131512.166666667</v>
      </c>
      <c r="H247" s="220">
        <f t="shared" si="69"/>
        <v>2462.74999999965</v>
      </c>
      <c r="I247" s="85">
        <v>10323.9533333333</v>
      </c>
      <c r="J247" s="85">
        <f t="shared" ref="J247:J249" si="70">G247*0.08</f>
        <v>10520.9733333333</v>
      </c>
      <c r="K247" s="85">
        <f t="shared" ref="K247:K249" si="71">J247-I247</f>
        <v>197.020000000033</v>
      </c>
      <c r="L247" s="85">
        <f t="shared" si="66"/>
        <v>126251.68</v>
      </c>
      <c r="M247" s="15" t="s">
        <v>403</v>
      </c>
      <c r="N247" s="85">
        <f>'[21] FGN 2024 MGT Monthly'!$K$33</f>
        <v>92926.5</v>
      </c>
      <c r="O247" s="909"/>
      <c r="P247" s="85"/>
      <c r="Q247" s="909">
        <f t="shared" si="67"/>
        <v>0</v>
      </c>
      <c r="R247" s="909">
        <f t="shared" si="68"/>
        <v>0</v>
      </c>
    </row>
    <row r="248" customHeight="1" spans="1:18">
      <c r="A248" s="27">
        <v>66</v>
      </c>
      <c r="B248" s="18" t="s">
        <v>406</v>
      </c>
      <c r="C248" s="12" t="s">
        <v>407</v>
      </c>
      <c r="D248" s="15" t="s">
        <v>396</v>
      </c>
      <c r="E248" s="85">
        <v>140634.666666667</v>
      </c>
      <c r="F248" s="15" t="s">
        <v>408</v>
      </c>
      <c r="G248" s="85">
        <v>143495.666666667</v>
      </c>
      <c r="H248" s="220">
        <f t="shared" si="69"/>
        <v>2860.99999999968</v>
      </c>
      <c r="I248" s="85">
        <v>11250.7733333333</v>
      </c>
      <c r="J248" s="85">
        <f t="shared" si="70"/>
        <v>11479.6533333333</v>
      </c>
      <c r="K248" s="85">
        <f t="shared" si="71"/>
        <v>228.880000000036</v>
      </c>
      <c r="L248" s="85">
        <f t="shared" si="66"/>
        <v>137755.84</v>
      </c>
      <c r="M248" s="15" t="s">
        <v>408</v>
      </c>
      <c r="N248" s="921">
        <v>99486.9166666667</v>
      </c>
      <c r="O248" s="909">
        <f>N248*0.025</f>
        <v>2487.17291666667</v>
      </c>
      <c r="P248" s="85">
        <f>2448.02</f>
        <v>2448.02</v>
      </c>
      <c r="Q248" s="909">
        <f t="shared" si="67"/>
        <v>39.1529166666678</v>
      </c>
      <c r="R248" s="909">
        <f t="shared" si="68"/>
        <v>29846.075</v>
      </c>
    </row>
    <row r="249" customHeight="1" spans="1:18">
      <c r="A249" s="27">
        <v>67</v>
      </c>
      <c r="B249" s="18" t="s">
        <v>409</v>
      </c>
      <c r="C249" s="12" t="s">
        <v>407</v>
      </c>
      <c r="D249" s="15" t="s">
        <v>396</v>
      </c>
      <c r="E249" s="85">
        <v>140634.666666667</v>
      </c>
      <c r="F249" s="15" t="s">
        <v>408</v>
      </c>
      <c r="G249" s="85">
        <v>143495.666666667</v>
      </c>
      <c r="H249" s="220">
        <f t="shared" si="69"/>
        <v>2860.99999999968</v>
      </c>
      <c r="I249" s="85">
        <v>11250.7733333333</v>
      </c>
      <c r="J249" s="85">
        <f t="shared" si="70"/>
        <v>11479.6533333333</v>
      </c>
      <c r="K249" s="85">
        <f t="shared" si="71"/>
        <v>228.880000000036</v>
      </c>
      <c r="L249" s="85">
        <f t="shared" si="66"/>
        <v>137755.84</v>
      </c>
      <c r="M249" s="15" t="s">
        <v>408</v>
      </c>
      <c r="N249" s="921">
        <v>99486.9166666667</v>
      </c>
      <c r="O249" s="909"/>
      <c r="P249" s="85"/>
      <c r="Q249" s="909">
        <f t="shared" si="67"/>
        <v>0</v>
      </c>
      <c r="R249" s="909">
        <f t="shared" si="68"/>
        <v>0</v>
      </c>
    </row>
    <row r="250" ht="30.75" customHeight="1" spans="1:18">
      <c r="A250" s="27"/>
      <c r="B250" s="8" t="s">
        <v>120</v>
      </c>
      <c r="C250" s="28" t="s">
        <v>514</v>
      </c>
      <c r="D250" s="29"/>
      <c r="E250" s="93">
        <f t="shared" ref="E250:L250" si="72">SUM(E183:E249)</f>
        <v>22570678.6666667</v>
      </c>
      <c r="F250" s="93"/>
      <c r="G250" s="93">
        <f t="shared" si="72"/>
        <v>23260400.9166667</v>
      </c>
      <c r="H250" s="93">
        <f t="shared" si="72"/>
        <v>682712.333333328</v>
      </c>
      <c r="I250" s="93">
        <f t="shared" si="72"/>
        <v>1780799.73333333</v>
      </c>
      <c r="J250" s="93">
        <f t="shared" si="72"/>
        <v>1837240.00666667</v>
      </c>
      <c r="K250" s="93">
        <f t="shared" si="72"/>
        <v>56440.2733333329</v>
      </c>
      <c r="L250" s="93">
        <f t="shared" ref="L250:R250" si="73">SUM(L183:L249)</f>
        <v>22046880.08</v>
      </c>
      <c r="M250" s="93">
        <f t="shared" si="73"/>
        <v>0</v>
      </c>
      <c r="N250" s="93">
        <f t="shared" si="73"/>
        <v>14772324.9166667</v>
      </c>
      <c r="O250" s="93">
        <f t="shared" si="73"/>
        <v>170278.020833333</v>
      </c>
      <c r="P250" s="93">
        <f t="shared" si="73"/>
        <v>166063.87625</v>
      </c>
      <c r="Q250" s="93">
        <f t="shared" si="73"/>
        <v>4214.1445833333</v>
      </c>
      <c r="R250" s="93">
        <f t="shared" si="73"/>
        <v>2043336.25</v>
      </c>
    </row>
    <row r="251" ht="30" customHeight="1" spans="1:18">
      <c r="A251" s="4"/>
      <c r="B251" s="30" t="s">
        <v>411</v>
      </c>
      <c r="C251" s="31">
        <f>C48+C58+C73+C78+C92+C106+C122+C132+C146+C165+C180+C250</f>
        <v>199</v>
      </c>
      <c r="D251" s="32"/>
      <c r="E251" s="227">
        <f t="shared" ref="E251:L251" si="74">E250+E180+E165+E157+E146+E132+E122+E106+E92+E78+E73+E58+E48</f>
        <v>99651523</v>
      </c>
      <c r="F251" s="227"/>
      <c r="G251" s="227">
        <f t="shared" si="74"/>
        <v>101760928.666667</v>
      </c>
      <c r="H251" s="1014">
        <f t="shared" si="74"/>
        <v>2102395.75</v>
      </c>
      <c r="I251" s="227">
        <f t="shared" si="74"/>
        <v>7723483.32</v>
      </c>
      <c r="J251" s="227">
        <f t="shared" si="74"/>
        <v>7849660.46666666</v>
      </c>
      <c r="K251" s="1014">
        <f t="shared" si="74"/>
        <v>126177.146666666</v>
      </c>
      <c r="L251" s="227">
        <f t="shared" ref="L251:R251" si="75">L250+L180+L165+L157+L146+L132+L122+L106+L92+L78+L73+L58+L48</f>
        <v>94195925.5999999</v>
      </c>
      <c r="M251" s="227">
        <f t="shared" si="75"/>
        <v>0</v>
      </c>
      <c r="N251" s="227">
        <f t="shared" si="75"/>
        <v>60639287.8333333</v>
      </c>
      <c r="O251" s="227">
        <f t="shared" si="75"/>
        <v>677813.76875</v>
      </c>
      <c r="P251" s="227">
        <f t="shared" si="75"/>
        <v>664098.969666667</v>
      </c>
      <c r="Q251" s="1014">
        <f t="shared" si="75"/>
        <v>13714.7990833333</v>
      </c>
      <c r="R251" s="227">
        <f t="shared" si="75"/>
        <v>8133765.225</v>
      </c>
    </row>
    <row r="252" customHeight="1" spans="16:16">
      <c r="P252" s="228"/>
    </row>
    <row r="253" customHeight="1" spans="16:16">
      <c r="P253" s="228"/>
    </row>
  </sheetData>
  <mergeCells count="1">
    <mergeCell ref="A1:G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9" max="7" man="1"/>
    <brk id="106" max="7" man="1"/>
    <brk id="158" max="7" man="1"/>
    <brk id="209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D139" activePane="bottomRight" state="frozen"/>
      <selection/>
      <selection pane="topRight"/>
      <selection pane="bottomLeft"/>
      <selection pane="bottomRight" activeCell="F191" sqref="F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515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516</v>
      </c>
      <c r="F4" s="906" t="s">
        <v>490</v>
      </c>
      <c r="G4" s="218" t="s">
        <v>517</v>
      </c>
      <c r="H4" s="218" t="s">
        <v>518</v>
      </c>
      <c r="I4" s="218" t="s">
        <v>519</v>
      </c>
      <c r="J4" s="914" t="s">
        <v>520</v>
      </c>
      <c r="K4" s="914" t="s">
        <v>521</v>
      </c>
      <c r="L4" s="914" t="s">
        <v>522</v>
      </c>
      <c r="M4" s="914" t="s">
        <v>523</v>
      </c>
      <c r="N4" s="914" t="s">
        <v>524</v>
      </c>
      <c r="O4" s="914" t="s">
        <v>499</v>
      </c>
      <c r="P4" s="914" t="s">
        <v>525</v>
      </c>
      <c r="Q4" s="914" t="s">
        <v>526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527</v>
      </c>
      <c r="F6" s="908" t="s">
        <v>528</v>
      </c>
      <c r="G6" s="10" t="s">
        <v>529</v>
      </c>
      <c r="H6" s="10" t="s">
        <v>530</v>
      </c>
      <c r="I6" s="915" t="s">
        <v>531</v>
      </c>
      <c r="J6" s="915" t="s">
        <v>532</v>
      </c>
      <c r="K6" s="915" t="s">
        <v>533</v>
      </c>
      <c r="L6" s="915" t="s">
        <v>534</v>
      </c>
      <c r="M6" s="915" t="s">
        <v>535</v>
      </c>
      <c r="N6" s="915" t="s">
        <v>536</v>
      </c>
      <c r="O6" s="915" t="s">
        <v>537</v>
      </c>
      <c r="P6" s="915" t="s">
        <v>538</v>
      </c>
      <c r="Q6" s="915" t="s">
        <v>539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540</v>
      </c>
      <c r="I7" s="10" t="s">
        <v>541</v>
      </c>
      <c r="J7" s="915" t="s">
        <v>542</v>
      </c>
      <c r="K7" s="915" t="s">
        <v>543</v>
      </c>
      <c r="L7" s="915" t="s">
        <v>544</v>
      </c>
      <c r="M7" s="915"/>
      <c r="N7" s="915" t="s">
        <v>545</v>
      </c>
      <c r="O7" s="915" t="s">
        <v>546</v>
      </c>
      <c r="P7" s="915" t="s">
        <v>546</v>
      </c>
      <c r="Q7" s="915" t="s">
        <v>546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6"/>
      <c r="K8" s="916"/>
      <c r="L8" s="916">
        <f t="shared" ref="L8:L38" si="2">K8-J8</f>
        <v>0</v>
      </c>
      <c r="M8" s="916"/>
      <c r="N8" s="916"/>
      <c r="O8" s="916">
        <f t="shared" ref="O8:O38" si="3">N8-M8</f>
        <v>0</v>
      </c>
      <c r="P8" s="916">
        <f t="shared" ref="P8:P38" si="4">K8*12</f>
        <v>0</v>
      </c>
      <c r="Q8" s="916">
        <f t="shared" ref="Q8:Q38" si="5"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6">
        <v>60989.8533333333</v>
      </c>
      <c r="K9" s="916">
        <f t="shared" ref="K9:K38" si="6">H9*0.08</f>
        <v>72424.54</v>
      </c>
      <c r="L9" s="916">
        <f t="shared" si="2"/>
        <v>11434.6866666667</v>
      </c>
      <c r="M9" s="916"/>
      <c r="N9" s="916"/>
      <c r="O9" s="916">
        <f t="shared" si="3"/>
        <v>0</v>
      </c>
      <c r="P9" s="916">
        <f t="shared" si="4"/>
        <v>869094.48</v>
      </c>
      <c r="Q9" s="916">
        <f t="shared" si="5"/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6"/>
      <c r="K10" s="916"/>
      <c r="L10" s="916">
        <f t="shared" si="2"/>
        <v>0</v>
      </c>
      <c r="M10" s="916"/>
      <c r="N10" s="916"/>
      <c r="O10" s="916">
        <f t="shared" si="3"/>
        <v>0</v>
      </c>
      <c r="P10" s="916">
        <f t="shared" si="4"/>
        <v>0</v>
      </c>
      <c r="Q10" s="916">
        <f t="shared" si="5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6">
        <v>60989.8533333333</v>
      </c>
      <c r="K11" s="916">
        <f t="shared" si="6"/>
        <v>72424.54</v>
      </c>
      <c r="L11" s="916">
        <f t="shared" si="2"/>
        <v>11434.6866666667</v>
      </c>
      <c r="M11" s="916">
        <v>10293.3979166667</v>
      </c>
      <c r="N11" s="916">
        <f t="shared" ref="N11:N13" si="7">0.025*F11</f>
        <v>13866.7375</v>
      </c>
      <c r="O11" s="916">
        <f t="shared" si="3"/>
        <v>3573.3395833333</v>
      </c>
      <c r="P11" s="916">
        <f t="shared" si="4"/>
        <v>869094.48</v>
      </c>
      <c r="Q11" s="916">
        <f t="shared" si="5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207</v>
      </c>
      <c r="E12" s="85">
        <v>716034</v>
      </c>
      <c r="F12" s="909">
        <f>'[19] FGN 2024 MGT Monthly'!$I$44</f>
        <v>539028</v>
      </c>
      <c r="G12" s="85">
        <f>'[19]Peculiar Allowance'!$I$44</f>
        <v>339980.916666667</v>
      </c>
      <c r="H12" s="220">
        <f t="shared" si="0"/>
        <v>879008.916666667</v>
      </c>
      <c r="I12" s="220">
        <f t="shared" si="1"/>
        <v>162974.916666667</v>
      </c>
      <c r="J12" s="916">
        <v>59136.2866666667</v>
      </c>
      <c r="K12" s="916">
        <f t="shared" si="6"/>
        <v>70320.7133333334</v>
      </c>
      <c r="L12" s="916">
        <f t="shared" si="2"/>
        <v>11184.4266666667</v>
      </c>
      <c r="M12" s="916">
        <v>10293.3979166667</v>
      </c>
      <c r="N12" s="916">
        <f t="shared" si="7"/>
        <v>13475.7</v>
      </c>
      <c r="O12" s="916">
        <f t="shared" si="3"/>
        <v>3182.3020833333</v>
      </c>
      <c r="P12" s="916">
        <f t="shared" si="4"/>
        <v>843848.56</v>
      </c>
      <c r="Q12" s="916">
        <f t="shared" si="5"/>
        <v>161708.4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49</v>
      </c>
      <c r="E13" s="85">
        <v>601396.833333333</v>
      </c>
      <c r="F13" s="909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6">
        <v>46569.4466666667</v>
      </c>
      <c r="K13" s="916">
        <f t="shared" si="6"/>
        <v>57807.64</v>
      </c>
      <c r="L13" s="916">
        <f t="shared" si="2"/>
        <v>11238.1933333333</v>
      </c>
      <c r="M13" s="916">
        <v>7859.63125</v>
      </c>
      <c r="N13" s="916">
        <f t="shared" si="7"/>
        <v>11149.8958333333</v>
      </c>
      <c r="O13" s="916">
        <f t="shared" si="3"/>
        <v>3290.26458333333</v>
      </c>
      <c r="P13" s="916">
        <f t="shared" si="4"/>
        <v>693691.68</v>
      </c>
      <c r="Q13" s="916">
        <f t="shared" si="5"/>
        <v>133798.75</v>
      </c>
    </row>
    <row r="14" customHeight="1" spans="1:17">
      <c r="A14" s="10">
        <v>7</v>
      </c>
      <c r="B14" s="11" t="s">
        <v>39</v>
      </c>
      <c r="C14" s="4" t="s">
        <v>547</v>
      </c>
      <c r="D14" s="15" t="s">
        <v>189</v>
      </c>
      <c r="E14" s="85">
        <v>484373.75</v>
      </c>
      <c r="F14" s="909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6">
        <v>38749.9</v>
      </c>
      <c r="K14" s="916">
        <f t="shared" si="6"/>
        <v>47172.56</v>
      </c>
      <c r="L14" s="916">
        <f t="shared" si="2"/>
        <v>8422.66</v>
      </c>
      <c r="M14" s="916"/>
      <c r="N14" s="916"/>
      <c r="O14" s="916">
        <f t="shared" si="3"/>
        <v>0</v>
      </c>
      <c r="P14" s="916">
        <f t="shared" si="4"/>
        <v>566070.72</v>
      </c>
      <c r="Q14" s="916">
        <f t="shared" si="5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49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6">
        <v>46569.45</v>
      </c>
      <c r="K15" s="916">
        <f t="shared" si="6"/>
        <v>57807.64</v>
      </c>
      <c r="L15" s="916">
        <f t="shared" si="2"/>
        <v>11238.19</v>
      </c>
      <c r="M15" s="916"/>
      <c r="N15" s="916"/>
      <c r="O15" s="916">
        <f t="shared" si="3"/>
        <v>0</v>
      </c>
      <c r="P15" s="916">
        <f t="shared" si="4"/>
        <v>693691.68</v>
      </c>
      <c r="Q15" s="916">
        <f t="shared" si="5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212</v>
      </c>
      <c r="E16" s="85">
        <v>456622.25</v>
      </c>
      <c r="F16" s="909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6">
        <v>35419.72</v>
      </c>
      <c r="K16" s="916">
        <f t="shared" si="6"/>
        <v>44653.22</v>
      </c>
      <c r="L16" s="916">
        <f t="shared" si="2"/>
        <v>9233.5</v>
      </c>
      <c r="M16" s="916"/>
      <c r="N16" s="916"/>
      <c r="O16" s="916">
        <f t="shared" si="3"/>
        <v>0</v>
      </c>
      <c r="P16" s="916">
        <f t="shared" si="4"/>
        <v>535838.64</v>
      </c>
      <c r="Q16" s="916">
        <f t="shared" si="5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6">
        <v>46569.45</v>
      </c>
      <c r="K17" s="916">
        <f t="shared" si="6"/>
        <v>56057.1133333333</v>
      </c>
      <c r="L17" s="916">
        <f t="shared" si="2"/>
        <v>9487.66333333329</v>
      </c>
      <c r="M17" s="916"/>
      <c r="N17" s="916"/>
      <c r="O17" s="916">
        <f t="shared" si="3"/>
        <v>0</v>
      </c>
      <c r="P17" s="916">
        <f t="shared" si="4"/>
        <v>672685.359999999</v>
      </c>
      <c r="Q17" s="916">
        <f t="shared" si="5"/>
        <v>0</v>
      </c>
    </row>
    <row r="18" customHeight="1" spans="1:17">
      <c r="A18" s="10">
        <v>11</v>
      </c>
      <c r="B18" s="11" t="s">
        <v>50</v>
      </c>
      <c r="C18" s="12" t="s">
        <v>60</v>
      </c>
      <c r="D18" s="15" t="s">
        <v>55</v>
      </c>
      <c r="E18" s="85">
        <v>441804.916666667</v>
      </c>
      <c r="F18" s="909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6">
        <v>34313.2733333333</v>
      </c>
      <c r="K18" s="916">
        <f t="shared" si="6"/>
        <v>43308.1066666666</v>
      </c>
      <c r="L18" s="916">
        <f t="shared" si="2"/>
        <v>8994.83333333334</v>
      </c>
      <c r="M18" s="916"/>
      <c r="N18" s="916"/>
      <c r="O18" s="916">
        <f t="shared" si="3"/>
        <v>0</v>
      </c>
      <c r="P18" s="916">
        <f t="shared" si="4"/>
        <v>519697.28</v>
      </c>
      <c r="Q18" s="916">
        <f t="shared" si="5"/>
        <v>0</v>
      </c>
    </row>
    <row r="19" customHeight="1" spans="1:17">
      <c r="A19" s="10">
        <v>12</v>
      </c>
      <c r="B19" s="18" t="s">
        <v>53</v>
      </c>
      <c r="C19" s="4" t="s">
        <v>54</v>
      </c>
      <c r="D19" s="15" t="s">
        <v>548</v>
      </c>
      <c r="E19" s="85">
        <v>428915.916666667</v>
      </c>
      <c r="F19" s="909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6">
        <v>33282.1533333333</v>
      </c>
      <c r="K19" s="916">
        <f t="shared" si="6"/>
        <v>42138.0066666667</v>
      </c>
      <c r="L19" s="916">
        <f t="shared" si="2"/>
        <v>8855.85333333342</v>
      </c>
      <c r="M19" s="916">
        <v>5607.17708333333</v>
      </c>
      <c r="N19" s="916">
        <f t="shared" ref="N19:N23" si="8">0.025*F19</f>
        <v>8226.12291666667</v>
      </c>
      <c r="O19" s="916">
        <f t="shared" si="3"/>
        <v>2618.94583333334</v>
      </c>
      <c r="P19" s="916">
        <f t="shared" si="4"/>
        <v>505656.080000001</v>
      </c>
      <c r="Q19" s="916">
        <f t="shared" si="5"/>
        <v>98713.4750000001</v>
      </c>
    </row>
    <row r="20" customHeight="1" spans="1:17">
      <c r="A20" s="10">
        <v>13</v>
      </c>
      <c r="B20" s="18" t="s">
        <v>56</v>
      </c>
      <c r="C20" s="4" t="s">
        <v>57</v>
      </c>
      <c r="D20" s="15" t="s">
        <v>503</v>
      </c>
      <c r="E20" s="676">
        <v>403138</v>
      </c>
      <c r="F20" s="909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6">
        <v>31219.9133333334</v>
      </c>
      <c r="K20" s="916">
        <f t="shared" si="6"/>
        <v>39797.82</v>
      </c>
      <c r="L20" s="916">
        <f t="shared" si="2"/>
        <v>8577.9066666666</v>
      </c>
      <c r="M20" s="916">
        <v>5967.30625</v>
      </c>
      <c r="N20" s="916">
        <f t="shared" si="8"/>
        <v>7791.83125</v>
      </c>
      <c r="O20" s="916">
        <f t="shared" si="3"/>
        <v>1824.525</v>
      </c>
      <c r="P20" s="916">
        <f t="shared" si="4"/>
        <v>477573.84</v>
      </c>
      <c r="Q20" s="916">
        <f t="shared" si="5"/>
        <v>93501.975</v>
      </c>
    </row>
    <row r="21" customHeight="1" spans="1:17">
      <c r="A21" s="10">
        <v>14</v>
      </c>
      <c r="B21" s="18" t="s">
        <v>59</v>
      </c>
      <c r="C21" s="4" t="s">
        <v>60</v>
      </c>
      <c r="D21" s="15" t="s">
        <v>503</v>
      </c>
      <c r="E21" s="676">
        <v>403138</v>
      </c>
      <c r="F21" s="909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6">
        <v>31219.9133333334</v>
      </c>
      <c r="K21" s="916">
        <f t="shared" si="6"/>
        <v>39797.82</v>
      </c>
      <c r="L21" s="916">
        <f t="shared" si="2"/>
        <v>8577.9066666666</v>
      </c>
      <c r="M21" s="916"/>
      <c r="N21" s="916"/>
      <c r="O21" s="916">
        <f t="shared" si="3"/>
        <v>0</v>
      </c>
      <c r="P21" s="916">
        <f t="shared" si="4"/>
        <v>477573.84</v>
      </c>
      <c r="Q21" s="916">
        <f t="shared" si="5"/>
        <v>0</v>
      </c>
    </row>
    <row r="22" customHeight="1" spans="1:17">
      <c r="A22" s="10">
        <v>15</v>
      </c>
      <c r="B22" s="11" t="s">
        <v>61</v>
      </c>
      <c r="C22" s="12" t="s">
        <v>549</v>
      </c>
      <c r="D22" s="15" t="s">
        <v>259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6">
        <v>31206.92</v>
      </c>
      <c r="K22" s="916">
        <f t="shared" si="6"/>
        <v>39719.7733333333</v>
      </c>
      <c r="L22" s="916">
        <f t="shared" si="2"/>
        <v>8512.85333333334</v>
      </c>
      <c r="M22" s="916">
        <v>5257.5625</v>
      </c>
      <c r="N22" s="916">
        <f t="shared" si="8"/>
        <v>7777.36041666667</v>
      </c>
      <c r="O22" s="916">
        <f t="shared" si="3"/>
        <v>2519.79791666667</v>
      </c>
      <c r="P22" s="916">
        <f t="shared" si="4"/>
        <v>476637.28</v>
      </c>
      <c r="Q22" s="916">
        <f t="shared" si="5"/>
        <v>93328.325</v>
      </c>
    </row>
    <row r="23" ht="18.75" customHeight="1" spans="1:17">
      <c r="A23" s="10">
        <v>16</v>
      </c>
      <c r="B23" s="11" t="s">
        <v>64</v>
      </c>
      <c r="C23" s="12" t="s">
        <v>176</v>
      </c>
      <c r="D23" s="15" t="s">
        <v>170</v>
      </c>
      <c r="E23" s="85">
        <v>390086.5</v>
      </c>
      <c r="F23" s="909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6">
        <v>30231.6133333333</v>
      </c>
      <c r="K23" s="916">
        <f t="shared" si="6"/>
        <v>38613.0133333334</v>
      </c>
      <c r="L23" s="916">
        <f t="shared" si="2"/>
        <v>8381.40000000006</v>
      </c>
      <c r="M23" s="916"/>
      <c r="N23" s="916">
        <f t="shared" si="8"/>
        <v>7571.96666666667</v>
      </c>
      <c r="O23" s="916">
        <f t="shared" si="3"/>
        <v>7571.96666666667</v>
      </c>
      <c r="P23" s="916">
        <f t="shared" si="4"/>
        <v>463356.16</v>
      </c>
      <c r="Q23" s="916">
        <f t="shared" si="5"/>
        <v>90863.6000000001</v>
      </c>
    </row>
    <row r="24" customHeight="1" spans="1:17">
      <c r="A24" s="10">
        <v>17</v>
      </c>
      <c r="B24" s="14" t="s">
        <v>67</v>
      </c>
      <c r="C24" s="17" t="s">
        <v>68</v>
      </c>
      <c r="D24" s="10" t="s">
        <v>131</v>
      </c>
      <c r="E24" s="85">
        <v>365704</v>
      </c>
      <c r="F24" s="909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6">
        <v>28281</v>
      </c>
      <c r="K24" s="916">
        <f t="shared" si="6"/>
        <v>36399.4866666666</v>
      </c>
      <c r="L24" s="916">
        <f t="shared" si="2"/>
        <v>8118.48666666664</v>
      </c>
      <c r="M24" s="916"/>
      <c r="N24" s="916"/>
      <c r="O24" s="916">
        <f t="shared" si="3"/>
        <v>0</v>
      </c>
      <c r="P24" s="916">
        <f t="shared" si="4"/>
        <v>436793.84</v>
      </c>
      <c r="Q24" s="916">
        <f t="shared" si="5"/>
        <v>0</v>
      </c>
    </row>
    <row r="25" ht="21.6" customHeight="1" spans="1:17">
      <c r="A25" s="10">
        <v>18</v>
      </c>
      <c r="B25" s="11" t="s">
        <v>70</v>
      </c>
      <c r="C25" s="17" t="s">
        <v>71</v>
      </c>
      <c r="D25" s="15" t="s">
        <v>131</v>
      </c>
      <c r="E25" s="85">
        <v>365704</v>
      </c>
      <c r="F25" s="909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6">
        <v>28281</v>
      </c>
      <c r="K25" s="916">
        <f t="shared" si="6"/>
        <v>36399.4866666666</v>
      </c>
      <c r="L25" s="916">
        <f t="shared" si="2"/>
        <v>8118.48666666664</v>
      </c>
      <c r="M25" s="916"/>
      <c r="N25" s="916"/>
      <c r="O25" s="916">
        <f t="shared" si="3"/>
        <v>0</v>
      </c>
      <c r="P25" s="916">
        <f t="shared" si="4"/>
        <v>436793.84</v>
      </c>
      <c r="Q25" s="916">
        <f t="shared" si="5"/>
        <v>0</v>
      </c>
    </row>
    <row r="26" customHeight="1" spans="1:17">
      <c r="A26" s="10">
        <v>19</v>
      </c>
      <c r="B26" s="14" t="s">
        <v>72</v>
      </c>
      <c r="C26" s="17" t="s">
        <v>73</v>
      </c>
      <c r="D26" s="10" t="s">
        <v>80</v>
      </c>
      <c r="E26" s="85">
        <v>293029.666666667</v>
      </c>
      <c r="F26" s="909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6">
        <v>23442.3733333333</v>
      </c>
      <c r="K26" s="916">
        <f t="shared" si="6"/>
        <v>30491.2533333333</v>
      </c>
      <c r="L26" s="916">
        <f t="shared" si="2"/>
        <v>7048.87999999998</v>
      </c>
      <c r="M26" s="916"/>
      <c r="N26" s="916"/>
      <c r="O26" s="916">
        <f t="shared" si="3"/>
        <v>0</v>
      </c>
      <c r="P26" s="916">
        <f t="shared" si="4"/>
        <v>365895.039999999</v>
      </c>
      <c r="Q26" s="916">
        <f t="shared" si="5"/>
        <v>0</v>
      </c>
    </row>
    <row r="27" customHeight="1" spans="1:17">
      <c r="A27" s="10">
        <v>20</v>
      </c>
      <c r="B27" s="14" t="s">
        <v>75</v>
      </c>
      <c r="C27" s="17" t="s">
        <v>76</v>
      </c>
      <c r="D27" s="10" t="s">
        <v>74</v>
      </c>
      <c r="E27" s="85">
        <v>300965.583333333</v>
      </c>
      <c r="F27" s="909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6">
        <v>23442.3733333334</v>
      </c>
      <c r="K27" s="916">
        <f t="shared" si="6"/>
        <v>30491.2533333333</v>
      </c>
      <c r="L27" s="916">
        <f t="shared" si="2"/>
        <v>7048.87999999988</v>
      </c>
      <c r="M27" s="916"/>
      <c r="N27" s="916">
        <f t="shared" ref="N27:N29" si="9">0.025*F27</f>
        <v>6021.86458333332</v>
      </c>
      <c r="O27" s="916">
        <f t="shared" si="3"/>
        <v>6021.86458333332</v>
      </c>
      <c r="P27" s="916">
        <f t="shared" si="4"/>
        <v>365895.039999999</v>
      </c>
      <c r="Q27" s="916">
        <f t="shared" si="5"/>
        <v>72262.3749999999</v>
      </c>
    </row>
    <row r="28" ht="18.75" customHeight="1" spans="1:17">
      <c r="A28" s="10">
        <v>21</v>
      </c>
      <c r="B28" s="4" t="s">
        <v>485</v>
      </c>
      <c r="C28" s="4" t="s">
        <v>94</v>
      </c>
      <c r="D28" s="10" t="s">
        <v>85</v>
      </c>
      <c r="E28" s="85">
        <v>277798</v>
      </c>
      <c r="F28" s="909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6">
        <v>21638.5333333333</v>
      </c>
      <c r="K28" s="916">
        <f t="shared" si="6"/>
        <v>28425.6533333334</v>
      </c>
      <c r="L28" s="916">
        <f t="shared" si="2"/>
        <v>6787.12000000006</v>
      </c>
      <c r="M28" s="916"/>
      <c r="N28" s="916">
        <f t="shared" si="9"/>
        <v>5690.39375</v>
      </c>
      <c r="O28" s="916">
        <f t="shared" si="3"/>
        <v>5690.39375</v>
      </c>
      <c r="P28" s="916">
        <f t="shared" si="4"/>
        <v>341107.84</v>
      </c>
      <c r="Q28" s="916">
        <f t="shared" si="5"/>
        <v>68284.725</v>
      </c>
    </row>
    <row r="29" ht="18.75" customHeight="1" spans="1:17">
      <c r="A29" s="10">
        <v>22</v>
      </c>
      <c r="B29" s="18" t="s">
        <v>78</v>
      </c>
      <c r="C29" s="12" t="s">
        <v>94</v>
      </c>
      <c r="D29" s="15" t="s">
        <v>85</v>
      </c>
      <c r="E29" s="85">
        <v>277798</v>
      </c>
      <c r="F29" s="909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6">
        <v>21638.5333333333</v>
      </c>
      <c r="K29" s="916">
        <f t="shared" si="6"/>
        <v>28425.6533333334</v>
      </c>
      <c r="L29" s="916">
        <f t="shared" si="2"/>
        <v>6787.12000000006</v>
      </c>
      <c r="M29" s="916"/>
      <c r="N29" s="916">
        <f t="shared" si="9"/>
        <v>5690.39375</v>
      </c>
      <c r="O29" s="916">
        <f t="shared" si="3"/>
        <v>5690.39375</v>
      </c>
      <c r="P29" s="916">
        <f t="shared" si="4"/>
        <v>341107.84</v>
      </c>
      <c r="Q29" s="916">
        <f t="shared" si="5"/>
        <v>68284.725</v>
      </c>
    </row>
    <row r="30" customHeight="1" spans="1:17">
      <c r="A30" s="10">
        <v>23</v>
      </c>
      <c r="B30" s="11" t="s">
        <v>81</v>
      </c>
      <c r="C30" s="17" t="s">
        <v>68</v>
      </c>
      <c r="D30" s="10" t="s">
        <v>85</v>
      </c>
      <c r="E30" s="85">
        <v>277798</v>
      </c>
      <c r="F30" s="909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6">
        <v>21638.5333333333</v>
      </c>
      <c r="K30" s="916">
        <f t="shared" si="6"/>
        <v>28425.6533333334</v>
      </c>
      <c r="L30" s="916">
        <f t="shared" si="2"/>
        <v>6787.12000000006</v>
      </c>
      <c r="M30" s="916"/>
      <c r="N30" s="916"/>
      <c r="O30" s="916">
        <f t="shared" si="3"/>
        <v>0</v>
      </c>
      <c r="P30" s="916">
        <f t="shared" si="4"/>
        <v>341107.84</v>
      </c>
      <c r="Q30" s="916">
        <f t="shared" si="5"/>
        <v>0</v>
      </c>
    </row>
    <row r="31" ht="18.75" customHeight="1" spans="1:17">
      <c r="A31" s="10">
        <v>24</v>
      </c>
      <c r="B31" s="18" t="s">
        <v>83</v>
      </c>
      <c r="C31" s="12" t="s">
        <v>84</v>
      </c>
      <c r="D31" s="15" t="s">
        <v>88</v>
      </c>
      <c r="E31" s="85">
        <v>270481.666666667</v>
      </c>
      <c r="F31" s="909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6">
        <v>21053.2266666667</v>
      </c>
      <c r="K31" s="916">
        <f t="shared" si="6"/>
        <v>27761.2933333333</v>
      </c>
      <c r="L31" s="916">
        <f t="shared" si="2"/>
        <v>6708.06666666658</v>
      </c>
      <c r="M31" s="916"/>
      <c r="N31" s="916"/>
      <c r="O31" s="916">
        <f t="shared" si="3"/>
        <v>0</v>
      </c>
      <c r="P31" s="916">
        <f t="shared" si="4"/>
        <v>333135.519999999</v>
      </c>
      <c r="Q31" s="916">
        <f t="shared" si="5"/>
        <v>0</v>
      </c>
    </row>
    <row r="32" ht="18.75" customHeight="1" spans="1:17">
      <c r="A32" s="10">
        <v>25</v>
      </c>
      <c r="B32" s="18" t="s">
        <v>86</v>
      </c>
      <c r="C32" s="4" t="s">
        <v>87</v>
      </c>
      <c r="D32" s="10" t="s">
        <v>99</v>
      </c>
      <c r="E32" s="85">
        <v>263165.333333333</v>
      </c>
      <c r="F32" s="909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6">
        <v>20467.92</v>
      </c>
      <c r="K32" s="916">
        <f t="shared" si="6"/>
        <v>27096.9333333334</v>
      </c>
      <c r="L32" s="916">
        <f t="shared" si="2"/>
        <v>6629.01333333336</v>
      </c>
      <c r="M32" s="916"/>
      <c r="N32" s="916"/>
      <c r="O32" s="916">
        <f t="shared" si="3"/>
        <v>0</v>
      </c>
      <c r="P32" s="916">
        <f t="shared" si="4"/>
        <v>325163.2</v>
      </c>
      <c r="Q32" s="916">
        <f t="shared" si="5"/>
        <v>0</v>
      </c>
    </row>
    <row r="33" ht="18.75" customHeight="1" spans="1:17">
      <c r="A33" s="10">
        <v>26</v>
      </c>
      <c r="B33" s="18" t="s">
        <v>89</v>
      </c>
      <c r="C33" s="4" t="s">
        <v>87</v>
      </c>
      <c r="D33" s="10" t="s">
        <v>99</v>
      </c>
      <c r="E33" s="85">
        <v>263165.333333333</v>
      </c>
      <c r="F33" s="909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6">
        <v>20467.92</v>
      </c>
      <c r="K33" s="916">
        <f t="shared" si="6"/>
        <v>27096.9333333334</v>
      </c>
      <c r="L33" s="916">
        <f t="shared" si="2"/>
        <v>6629.01333333336</v>
      </c>
      <c r="M33" s="916"/>
      <c r="N33" s="916"/>
      <c r="O33" s="916">
        <f t="shared" si="3"/>
        <v>0</v>
      </c>
      <c r="P33" s="916">
        <f t="shared" si="4"/>
        <v>325163.2</v>
      </c>
      <c r="Q33" s="916">
        <f t="shared" si="5"/>
        <v>0</v>
      </c>
    </row>
    <row r="34" ht="18.75" customHeight="1" spans="1:17">
      <c r="A34" s="10">
        <v>27</v>
      </c>
      <c r="B34" s="18" t="s">
        <v>91</v>
      </c>
      <c r="C34" s="17" t="s">
        <v>550</v>
      </c>
      <c r="D34" s="15" t="s">
        <v>85</v>
      </c>
      <c r="E34" s="85">
        <v>277798</v>
      </c>
      <c r="F34" s="909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6">
        <v>21638.5333333333</v>
      </c>
      <c r="K34" s="916">
        <f t="shared" si="6"/>
        <v>28425.6533333334</v>
      </c>
      <c r="L34" s="916">
        <f t="shared" si="2"/>
        <v>6787.12000000006</v>
      </c>
      <c r="M34" s="916">
        <v>3653.5</v>
      </c>
      <c r="N34" s="916">
        <f t="shared" ref="N34:N38" si="10">0.025*F34</f>
        <v>5690.39375</v>
      </c>
      <c r="O34" s="916">
        <f t="shared" si="3"/>
        <v>2036.89375</v>
      </c>
      <c r="P34" s="916">
        <f t="shared" si="4"/>
        <v>341107.84</v>
      </c>
      <c r="Q34" s="916">
        <f t="shared" si="5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09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6">
        <v>20467.92</v>
      </c>
      <c r="K35" s="916">
        <f t="shared" si="6"/>
        <v>27096.9333333334</v>
      </c>
      <c r="L35" s="916">
        <f t="shared" si="2"/>
        <v>6629.01333333336</v>
      </c>
      <c r="M35" s="916"/>
      <c r="N35" s="916"/>
      <c r="O35" s="916">
        <f t="shared" si="3"/>
        <v>0</v>
      </c>
      <c r="P35" s="916">
        <f t="shared" si="4"/>
        <v>325163.2</v>
      </c>
      <c r="Q35" s="916">
        <f t="shared" si="5"/>
        <v>0</v>
      </c>
    </row>
    <row r="36" ht="18.75" customHeight="1" spans="1:17">
      <c r="A36" s="10">
        <v>29</v>
      </c>
      <c r="B36" s="18" t="s">
        <v>95</v>
      </c>
      <c r="C36" s="4" t="s">
        <v>551</v>
      </c>
      <c r="D36" s="10" t="s">
        <v>99</v>
      </c>
      <c r="E36" s="85">
        <v>263165.333333333</v>
      </c>
      <c r="F36" s="909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6">
        <v>20467.92</v>
      </c>
      <c r="K36" s="916">
        <f t="shared" si="6"/>
        <v>27096.9333333334</v>
      </c>
      <c r="L36" s="916">
        <f t="shared" si="2"/>
        <v>6629.01333333336</v>
      </c>
      <c r="M36" s="916"/>
      <c r="N36" s="916"/>
      <c r="O36" s="916">
        <f t="shared" si="3"/>
        <v>0</v>
      </c>
      <c r="P36" s="916">
        <f t="shared" si="4"/>
        <v>325163.2</v>
      </c>
      <c r="Q36" s="916">
        <f t="shared" si="5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09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6">
        <v>17956.78</v>
      </c>
      <c r="K37" s="916">
        <f t="shared" si="6"/>
        <v>24152.86</v>
      </c>
      <c r="L37" s="916">
        <f t="shared" si="2"/>
        <v>6196.08</v>
      </c>
      <c r="M37" s="916"/>
      <c r="N37" s="916">
        <f t="shared" si="10"/>
        <v>4909.11041666668</v>
      </c>
      <c r="O37" s="916">
        <f t="shared" si="3"/>
        <v>4909.11041666668</v>
      </c>
      <c r="P37" s="916">
        <f t="shared" si="4"/>
        <v>289834.32</v>
      </c>
      <c r="Q37" s="916">
        <f t="shared" si="5"/>
        <v>58909.3250000001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76">
        <v>224459.75</v>
      </c>
      <c r="F38" s="909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6">
        <v>17463.0066666666</v>
      </c>
      <c r="K38" s="916">
        <f t="shared" si="6"/>
        <v>23592.0666666667</v>
      </c>
      <c r="L38" s="916">
        <f t="shared" si="2"/>
        <v>6129.06000000012</v>
      </c>
      <c r="M38" s="916"/>
      <c r="N38" s="916">
        <f t="shared" si="10"/>
        <v>4804.48541666668</v>
      </c>
      <c r="O38" s="916">
        <f t="shared" si="3"/>
        <v>4804.48541666668</v>
      </c>
      <c r="P38" s="916">
        <f t="shared" si="4"/>
        <v>283104.800000001</v>
      </c>
      <c r="Q38" s="916">
        <f t="shared" si="5"/>
        <v>57653.8250000001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11">SUM(E8:E38)</f>
        <v>14073003.667</v>
      </c>
      <c r="F39" s="910">
        <f t="shared" si="11"/>
        <v>10680273.5</v>
      </c>
      <c r="G39" s="221">
        <f t="shared" si="11"/>
        <v>6613927.25</v>
      </c>
      <c r="H39" s="221">
        <f t="shared" si="11"/>
        <v>17294200.75</v>
      </c>
      <c r="I39" s="221">
        <f t="shared" si="11"/>
        <v>3221197.083</v>
      </c>
      <c r="J39" s="221">
        <f t="shared" si="11"/>
        <v>914813.32</v>
      </c>
      <c r="K39" s="221">
        <f t="shared" si="11"/>
        <v>1153420.55333333</v>
      </c>
      <c r="L39" s="221">
        <f t="shared" si="11"/>
        <v>238607.233333334</v>
      </c>
      <c r="M39" s="221">
        <f t="shared" si="11"/>
        <v>48931.9729166667</v>
      </c>
      <c r="N39" s="221">
        <f t="shared" si="11"/>
        <v>102666.25625</v>
      </c>
      <c r="O39" s="221">
        <f t="shared" si="11"/>
        <v>53734.2833333333</v>
      </c>
      <c r="P39" s="221">
        <f t="shared" si="11"/>
        <v>13841046.64</v>
      </c>
      <c r="Q39" s="221">
        <f t="shared" si="11"/>
        <v>1231995.075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121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09">
        <v>1086777.08333333</v>
      </c>
      <c r="G42" s="220">
        <v>660329.333333333</v>
      </c>
      <c r="H42" s="911">
        <f t="shared" ref="H42:H45" si="12">F42+G42</f>
        <v>1747106.41666666</v>
      </c>
      <c r="I42" s="220">
        <f t="shared" ref="I42:I45" si="13">H42-E42</f>
        <v>311386.416666663</v>
      </c>
      <c r="J42" s="916">
        <v>114857.6</v>
      </c>
      <c r="K42" s="916">
        <f t="shared" ref="K42:K45" si="14">H42*0.08</f>
        <v>139768.513333333</v>
      </c>
      <c r="L42" s="916">
        <f t="shared" ref="L42:L45" si="15">K42-J42</f>
        <v>24910.913333333</v>
      </c>
      <c r="M42" s="916"/>
      <c r="N42" s="916"/>
      <c r="O42" s="916">
        <f t="shared" ref="O42:O45" si="16">N42-M42</f>
        <v>0</v>
      </c>
      <c r="P42" s="916">
        <f t="shared" ref="P42:P45" si="17">K42*12</f>
        <v>1677222.16</v>
      </c>
      <c r="Q42" s="916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74</v>
      </c>
      <c r="E43" s="85">
        <v>300965.583333333</v>
      </c>
      <c r="F43" s="909">
        <v>240874.583333333</v>
      </c>
      <c r="G43" s="220">
        <v>140266.083333333</v>
      </c>
      <c r="H43" s="911">
        <f t="shared" si="12"/>
        <v>381140.666666666</v>
      </c>
      <c r="I43" s="220">
        <f t="shared" si="13"/>
        <v>80175.083333333</v>
      </c>
      <c r="J43" s="916">
        <v>23442.3733333333</v>
      </c>
      <c r="K43" s="916">
        <f t="shared" si="14"/>
        <v>30491.2533333333</v>
      </c>
      <c r="L43" s="916">
        <f t="shared" si="15"/>
        <v>7048.87999999998</v>
      </c>
      <c r="M43" s="916"/>
      <c r="N43" s="916">
        <f>0.025*F43</f>
        <v>6021.86458333332</v>
      </c>
      <c r="O43" s="916">
        <f t="shared" si="16"/>
        <v>6021.86458333332</v>
      </c>
      <c r="P43" s="916">
        <f t="shared" si="17"/>
        <v>365895.039999999</v>
      </c>
      <c r="Q43" s="916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77</v>
      </c>
      <c r="E44" s="85">
        <v>308901.5</v>
      </c>
      <c r="F44" s="909">
        <v>246171.166666667</v>
      </c>
      <c r="G44" s="220">
        <v>143964.666666667</v>
      </c>
      <c r="H44" s="911">
        <f t="shared" si="12"/>
        <v>390135.833333334</v>
      </c>
      <c r="I44" s="220">
        <f t="shared" si="13"/>
        <v>81234.333333334</v>
      </c>
      <c r="J44" s="916">
        <v>24077.2466666667</v>
      </c>
      <c r="K44" s="916">
        <f t="shared" si="14"/>
        <v>31210.8666666667</v>
      </c>
      <c r="L44" s="916">
        <f t="shared" si="15"/>
        <v>7133.62000000002</v>
      </c>
      <c r="M44" s="916"/>
      <c r="N44" s="916"/>
      <c r="O44" s="916">
        <f t="shared" si="16"/>
        <v>0</v>
      </c>
      <c r="P44" s="916">
        <f t="shared" si="17"/>
        <v>374530.400000001</v>
      </c>
      <c r="Q44" s="916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76">
        <v>263165.333333333</v>
      </c>
      <c r="F45" s="909">
        <v>217733.416666667</v>
      </c>
      <c r="G45" s="220">
        <v>120978.25</v>
      </c>
      <c r="H45" s="911">
        <f t="shared" si="12"/>
        <v>338711.666666667</v>
      </c>
      <c r="I45" s="220">
        <f t="shared" si="13"/>
        <v>75546.333333334</v>
      </c>
      <c r="J45" s="916">
        <v>20467.92</v>
      </c>
      <c r="K45" s="916">
        <f t="shared" si="14"/>
        <v>27096.9333333334</v>
      </c>
      <c r="L45" s="916">
        <f t="shared" si="15"/>
        <v>6629.01333333336</v>
      </c>
      <c r="M45" s="916"/>
      <c r="N45" s="916">
        <f>0.025*F45</f>
        <v>5443.33541666668</v>
      </c>
      <c r="O45" s="916">
        <f t="shared" si="16"/>
        <v>5443.33541666668</v>
      </c>
      <c r="P45" s="916">
        <f t="shared" si="17"/>
        <v>325163.2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8">SUM(E42:E45)</f>
        <v>2308752.41666667</v>
      </c>
      <c r="F46" s="910">
        <f t="shared" si="18"/>
        <v>1791556.25</v>
      </c>
      <c r="G46" s="221">
        <f t="shared" si="18"/>
        <v>1065538.33333333</v>
      </c>
      <c r="H46" s="221">
        <f t="shared" si="18"/>
        <v>2857094.58333333</v>
      </c>
      <c r="I46" s="221">
        <f t="shared" si="18"/>
        <v>548342.166666664</v>
      </c>
      <c r="J46" s="221">
        <f t="shared" si="18"/>
        <v>182845.14</v>
      </c>
      <c r="K46" s="221">
        <f t="shared" si="18"/>
        <v>228567.566666666</v>
      </c>
      <c r="L46" s="221">
        <f t="shared" si="18"/>
        <v>45722.4266666664</v>
      </c>
      <c r="M46" s="221">
        <f t="shared" si="18"/>
        <v>0</v>
      </c>
      <c r="N46" s="221">
        <f t="shared" si="18"/>
        <v>11465.2</v>
      </c>
      <c r="O46" s="221">
        <f t="shared" si="18"/>
        <v>11465.2</v>
      </c>
      <c r="P46" s="221">
        <f t="shared" si="18"/>
        <v>2742810.8</v>
      </c>
      <c r="Q46" s="221">
        <f t="shared" si="18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137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138</v>
      </c>
      <c r="C49" s="4" t="s">
        <v>552</v>
      </c>
      <c r="D49" s="10" t="s">
        <v>35</v>
      </c>
      <c r="E49" s="85">
        <v>762373.166666667</v>
      </c>
      <c r="F49" s="909">
        <v>554669.5</v>
      </c>
      <c r="G49" s="220">
        <v>350637.25</v>
      </c>
      <c r="H49" s="911">
        <f t="shared" ref="H49:H56" si="19">F49+G49</f>
        <v>905306.75</v>
      </c>
      <c r="I49" s="220">
        <f t="shared" ref="I49:I56" si="20">H49-E49</f>
        <v>142933.583333333</v>
      </c>
      <c r="J49" s="916">
        <v>59136.2866666667</v>
      </c>
      <c r="K49" s="916">
        <f t="shared" ref="K49:K56" si="21">H49*0.08</f>
        <v>72424.54</v>
      </c>
      <c r="L49" s="916">
        <f t="shared" ref="L49:L56" si="22">K49-J49</f>
        <v>13288.2533333333</v>
      </c>
      <c r="M49" s="916"/>
      <c r="N49" s="916"/>
      <c r="O49" s="916">
        <f t="shared" ref="O49:O56" si="23">N49-M49</f>
        <v>0</v>
      </c>
      <c r="P49" s="916">
        <f t="shared" ref="P49:P56" si="24">K49*12</f>
        <v>869094.48</v>
      </c>
      <c r="Q49" s="916"/>
    </row>
    <row r="50" customHeight="1" spans="1:17">
      <c r="A50" s="10">
        <v>2</v>
      </c>
      <c r="B50" s="11" t="s">
        <v>141</v>
      </c>
      <c r="C50" s="4" t="s">
        <v>142</v>
      </c>
      <c r="D50" s="10" t="s">
        <v>38</v>
      </c>
      <c r="E50" s="85">
        <v>620675.583333333</v>
      </c>
      <c r="F50" s="909">
        <v>459010.5</v>
      </c>
      <c r="G50" s="220">
        <v>285466.5</v>
      </c>
      <c r="H50" s="911">
        <f t="shared" si="19"/>
        <v>744477</v>
      </c>
      <c r="I50" s="220">
        <f t="shared" si="20"/>
        <v>123801.416666667</v>
      </c>
      <c r="J50" s="916">
        <v>49654.0466666667</v>
      </c>
      <c r="K50" s="916">
        <f t="shared" si="21"/>
        <v>59558.16</v>
      </c>
      <c r="L50" s="916">
        <f t="shared" si="22"/>
        <v>9904.11333333331</v>
      </c>
      <c r="M50" s="916"/>
      <c r="N50" s="916"/>
      <c r="O50" s="916">
        <f t="shared" si="23"/>
        <v>0</v>
      </c>
      <c r="P50" s="916">
        <f t="shared" si="24"/>
        <v>714697.92</v>
      </c>
      <c r="Q50" s="916"/>
    </row>
    <row r="51" customHeight="1" spans="1:17">
      <c r="A51" s="10">
        <v>3</v>
      </c>
      <c r="B51" s="11" t="s">
        <v>143</v>
      </c>
      <c r="C51" s="4" t="s">
        <v>142</v>
      </c>
      <c r="D51" s="10" t="s">
        <v>38</v>
      </c>
      <c r="E51" s="85">
        <v>620675.583333333</v>
      </c>
      <c r="F51" s="909">
        <v>459010.5</v>
      </c>
      <c r="G51" s="220">
        <v>285466.5</v>
      </c>
      <c r="H51" s="911">
        <f t="shared" si="19"/>
        <v>744477</v>
      </c>
      <c r="I51" s="220">
        <f t="shared" si="20"/>
        <v>123801.416666667</v>
      </c>
      <c r="J51" s="916">
        <v>49654.0466666667</v>
      </c>
      <c r="K51" s="916">
        <f t="shared" si="21"/>
        <v>59558.16</v>
      </c>
      <c r="L51" s="916">
        <f t="shared" si="22"/>
        <v>9904.11333333331</v>
      </c>
      <c r="M51" s="916">
        <v>8380.22708333333</v>
      </c>
      <c r="N51" s="916">
        <f>0.025*F51</f>
        <v>11475.2625</v>
      </c>
      <c r="O51" s="916">
        <f t="shared" si="23"/>
        <v>3095.03541666667</v>
      </c>
      <c r="P51" s="916">
        <f t="shared" si="24"/>
        <v>714697.92</v>
      </c>
      <c r="Q51" s="916">
        <f>N51*12</f>
        <v>137703.15</v>
      </c>
    </row>
    <row r="52" customHeight="1" spans="1:17">
      <c r="A52" s="10">
        <v>4</v>
      </c>
      <c r="B52" s="11" t="s">
        <v>144</v>
      </c>
      <c r="C52" s="4" t="s">
        <v>142</v>
      </c>
      <c r="D52" s="10" t="s">
        <v>49</v>
      </c>
      <c r="E52" s="85">
        <v>601396.833333333</v>
      </c>
      <c r="F52" s="909">
        <v>445995.833333333</v>
      </c>
      <c r="G52" s="220">
        <v>276599.666666667</v>
      </c>
      <c r="H52" s="911">
        <f t="shared" si="19"/>
        <v>722595.5</v>
      </c>
      <c r="I52" s="220">
        <f t="shared" si="20"/>
        <v>121198.666666667</v>
      </c>
      <c r="J52" s="916">
        <v>46569.4466666667</v>
      </c>
      <c r="K52" s="916">
        <f t="shared" si="21"/>
        <v>57807.64</v>
      </c>
      <c r="L52" s="916">
        <f t="shared" si="22"/>
        <v>11238.1933333333</v>
      </c>
      <c r="M52" s="916"/>
      <c r="N52" s="916"/>
      <c r="O52" s="916">
        <f t="shared" si="23"/>
        <v>0</v>
      </c>
      <c r="P52" s="916">
        <f t="shared" si="24"/>
        <v>693691.68</v>
      </c>
      <c r="Q52" s="916"/>
    </row>
    <row r="53" customHeight="1" spans="1:17">
      <c r="A53" s="10">
        <v>5</v>
      </c>
      <c r="B53" s="14" t="s">
        <v>145</v>
      </c>
      <c r="C53" s="4" t="s">
        <v>142</v>
      </c>
      <c r="D53" s="10" t="s">
        <v>41</v>
      </c>
      <c r="E53" s="85">
        <v>582118.083333333</v>
      </c>
      <c r="F53" s="909">
        <v>432981.083333333</v>
      </c>
      <c r="G53" s="220">
        <v>267732.833333333</v>
      </c>
      <c r="H53" s="911">
        <f t="shared" si="19"/>
        <v>700713.916666666</v>
      </c>
      <c r="I53" s="220">
        <f t="shared" si="20"/>
        <v>118595.833333333</v>
      </c>
      <c r="J53" s="916">
        <v>46569.45</v>
      </c>
      <c r="K53" s="916">
        <f t="shared" si="21"/>
        <v>56057.1133333333</v>
      </c>
      <c r="L53" s="916">
        <f t="shared" si="22"/>
        <v>9487.66333333329</v>
      </c>
      <c r="M53" s="916"/>
      <c r="N53" s="916"/>
      <c r="O53" s="916">
        <f t="shared" si="23"/>
        <v>0</v>
      </c>
      <c r="P53" s="916">
        <f t="shared" si="24"/>
        <v>672685.359999999</v>
      </c>
      <c r="Q53" s="916"/>
    </row>
    <row r="54" customHeight="1" spans="1:17">
      <c r="A54" s="10">
        <v>6</v>
      </c>
      <c r="B54" s="11" t="s">
        <v>149</v>
      </c>
      <c r="C54" s="4" t="s">
        <v>150</v>
      </c>
      <c r="D54" s="10" t="s">
        <v>77</v>
      </c>
      <c r="E54" s="85">
        <v>308901.5</v>
      </c>
      <c r="F54" s="909">
        <v>246171.166666667</v>
      </c>
      <c r="G54" s="220">
        <v>143964.666666667</v>
      </c>
      <c r="H54" s="911">
        <f t="shared" si="19"/>
        <v>390135.833333334</v>
      </c>
      <c r="I54" s="220">
        <f t="shared" si="20"/>
        <v>81234.333333334</v>
      </c>
      <c r="J54" s="916">
        <v>24077.2466666667</v>
      </c>
      <c r="K54" s="916">
        <f t="shared" si="21"/>
        <v>31210.8666666667</v>
      </c>
      <c r="L54" s="916">
        <f t="shared" si="22"/>
        <v>7133.62000000002</v>
      </c>
      <c r="M54" s="916"/>
      <c r="N54" s="916"/>
      <c r="O54" s="916">
        <f t="shared" si="23"/>
        <v>0</v>
      </c>
      <c r="P54" s="916">
        <f t="shared" si="24"/>
        <v>374530.400000001</v>
      </c>
      <c r="Q54" s="916"/>
    </row>
    <row r="55" customHeight="1" spans="1:17">
      <c r="A55" s="10">
        <v>7</v>
      </c>
      <c r="B55" s="11" t="s">
        <v>153</v>
      </c>
      <c r="C55" s="4" t="s">
        <v>150</v>
      </c>
      <c r="D55" s="10" t="s">
        <v>88</v>
      </c>
      <c r="E55" s="85">
        <v>270481.666666667</v>
      </c>
      <c r="F55" s="909">
        <v>222674.583333333</v>
      </c>
      <c r="G55" s="220">
        <v>124341.583333333</v>
      </c>
      <c r="H55" s="911">
        <f t="shared" si="19"/>
        <v>347016.166666666</v>
      </c>
      <c r="I55" s="220">
        <f t="shared" si="20"/>
        <v>76534.499999999</v>
      </c>
      <c r="J55" s="916">
        <v>21053.2266666667</v>
      </c>
      <c r="K55" s="916">
        <f t="shared" si="21"/>
        <v>27761.2933333333</v>
      </c>
      <c r="L55" s="916">
        <f t="shared" si="22"/>
        <v>6708.06666666658</v>
      </c>
      <c r="M55" s="916"/>
      <c r="N55" s="916"/>
      <c r="O55" s="916">
        <f t="shared" si="23"/>
        <v>0</v>
      </c>
      <c r="P55" s="916">
        <f t="shared" si="24"/>
        <v>333135.519999999</v>
      </c>
      <c r="Q55" s="916"/>
    </row>
    <row r="56" customHeight="1" spans="1:17">
      <c r="A56" s="10">
        <v>8</v>
      </c>
      <c r="B56" s="11" t="s">
        <v>154</v>
      </c>
      <c r="C56" s="4" t="s">
        <v>150</v>
      </c>
      <c r="D56" s="10" t="s">
        <v>88</v>
      </c>
      <c r="E56" s="85">
        <v>270481.666666667</v>
      </c>
      <c r="F56" s="909">
        <v>222674.583333333</v>
      </c>
      <c r="G56" s="220">
        <v>124341.583333333</v>
      </c>
      <c r="H56" s="911">
        <f t="shared" si="19"/>
        <v>347016.166666666</v>
      </c>
      <c r="I56" s="220">
        <f t="shared" si="20"/>
        <v>76534.499999999</v>
      </c>
      <c r="J56" s="916">
        <v>21053.2266666667</v>
      </c>
      <c r="K56" s="916">
        <f t="shared" si="21"/>
        <v>27761.2933333333</v>
      </c>
      <c r="L56" s="916">
        <f t="shared" si="22"/>
        <v>6708.06666666658</v>
      </c>
      <c r="M56" s="916"/>
      <c r="N56" s="916"/>
      <c r="O56" s="916">
        <f t="shared" si="23"/>
        <v>0</v>
      </c>
      <c r="P56" s="916">
        <f t="shared" si="24"/>
        <v>333135.519999999</v>
      </c>
      <c r="Q56" s="916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25">SUM(E49:E56)</f>
        <v>4037104.08333333</v>
      </c>
      <c r="F57" s="912">
        <f t="shared" si="25"/>
        <v>3043187.75</v>
      </c>
      <c r="G57" s="93">
        <f t="shared" si="25"/>
        <v>1858550.58333333</v>
      </c>
      <c r="H57" s="93">
        <f t="shared" si="25"/>
        <v>4901738.33333333</v>
      </c>
      <c r="I57" s="93">
        <f t="shared" si="25"/>
        <v>864634.249999999</v>
      </c>
      <c r="J57" s="93">
        <f t="shared" si="25"/>
        <v>317766.976666667</v>
      </c>
      <c r="K57" s="93">
        <f t="shared" si="25"/>
        <v>392139.066666667</v>
      </c>
      <c r="L57" s="93">
        <f t="shared" si="25"/>
        <v>74372.0899999997</v>
      </c>
      <c r="M57" s="93">
        <f t="shared" si="25"/>
        <v>8380.22708333333</v>
      </c>
      <c r="N57" s="93">
        <f t="shared" si="25"/>
        <v>11475.2625</v>
      </c>
      <c r="O57" s="93">
        <f t="shared" si="25"/>
        <v>3095.03541666667</v>
      </c>
      <c r="P57" s="93">
        <f t="shared" si="25"/>
        <v>4705668.8</v>
      </c>
      <c r="Q57" s="93">
        <f t="shared" si="25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156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157</v>
      </c>
      <c r="C60" s="12" t="s">
        <v>158</v>
      </c>
      <c r="D60" s="15" t="s">
        <v>124</v>
      </c>
      <c r="E60" s="85">
        <v>1435720</v>
      </c>
      <c r="F60" s="909">
        <v>1086777.08333333</v>
      </c>
      <c r="G60" s="220">
        <v>660329.333333333</v>
      </c>
      <c r="H60" s="911">
        <f t="shared" ref="H60:H71" si="26">F60+G60</f>
        <v>1747106.41666666</v>
      </c>
      <c r="I60" s="220">
        <f t="shared" ref="I60:I71" si="27">H60-E60</f>
        <v>311386.416666663</v>
      </c>
      <c r="J60" s="916">
        <v>114857.6</v>
      </c>
      <c r="K60" s="916">
        <f t="shared" ref="K60:K71" si="28">H60*0.08</f>
        <v>139768.513333333</v>
      </c>
      <c r="L60" s="916">
        <f t="shared" ref="L60:L71" si="29">K60-J60</f>
        <v>24910.913333333</v>
      </c>
      <c r="M60" s="916"/>
      <c r="N60" s="916"/>
      <c r="O60" s="916">
        <f t="shared" ref="O60:O71" si="30">N60-M60</f>
        <v>0</v>
      </c>
      <c r="P60" s="916">
        <f t="shared" ref="P60:P71" si="31">K60*12</f>
        <v>1677222.16</v>
      </c>
      <c r="Q60" s="916"/>
    </row>
    <row r="61" customHeight="1" spans="1:17">
      <c r="A61" s="10">
        <v>2</v>
      </c>
      <c r="B61" s="11" t="s">
        <v>159</v>
      </c>
      <c r="C61" s="12" t="s">
        <v>160</v>
      </c>
      <c r="D61" s="15" t="s">
        <v>161</v>
      </c>
      <c r="E61" s="85">
        <v>620675.583333333</v>
      </c>
      <c r="F61" s="909">
        <v>459010.5</v>
      </c>
      <c r="G61" s="220">
        <v>285466.5</v>
      </c>
      <c r="H61" s="911">
        <f t="shared" si="26"/>
        <v>744477</v>
      </c>
      <c r="I61" s="220">
        <f t="shared" si="27"/>
        <v>123801.416666667</v>
      </c>
      <c r="J61" s="916">
        <v>49654.0466666667</v>
      </c>
      <c r="K61" s="916">
        <f t="shared" si="28"/>
        <v>59558.16</v>
      </c>
      <c r="L61" s="916">
        <f t="shared" si="29"/>
        <v>9904.11333333331</v>
      </c>
      <c r="M61" s="916"/>
      <c r="N61" s="916"/>
      <c r="O61" s="916">
        <f t="shared" si="30"/>
        <v>0</v>
      </c>
      <c r="P61" s="916">
        <f t="shared" si="31"/>
        <v>714697.92</v>
      </c>
      <c r="Q61" s="916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32">SUM(E60:E61)</f>
        <v>2056395.58333333</v>
      </c>
      <c r="F62" s="912">
        <f t="shared" si="32"/>
        <v>1545787.58333333</v>
      </c>
      <c r="G62" s="93">
        <f t="shared" si="32"/>
        <v>945795.833333333</v>
      </c>
      <c r="H62" s="93">
        <f t="shared" si="32"/>
        <v>2491583.41666666</v>
      </c>
      <c r="I62" s="93">
        <f t="shared" si="32"/>
        <v>435187.83333333</v>
      </c>
      <c r="J62" s="93">
        <f t="shared" si="32"/>
        <v>164511.646666667</v>
      </c>
      <c r="K62" s="93">
        <f t="shared" si="32"/>
        <v>199326.673333333</v>
      </c>
      <c r="L62" s="93">
        <f t="shared" si="32"/>
        <v>34815.0266666663</v>
      </c>
      <c r="M62" s="93">
        <f t="shared" si="32"/>
        <v>0</v>
      </c>
      <c r="N62" s="93">
        <f t="shared" si="32"/>
        <v>0</v>
      </c>
      <c r="O62" s="93">
        <f t="shared" si="32"/>
        <v>0</v>
      </c>
      <c r="P62" s="93">
        <f t="shared" si="32"/>
        <v>2391920.08</v>
      </c>
      <c r="Q62" s="93">
        <f t="shared" si="32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162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163</v>
      </c>
      <c r="C65" s="4" t="s">
        <v>164</v>
      </c>
      <c r="D65" s="10" t="s">
        <v>35</v>
      </c>
      <c r="E65" s="85">
        <v>762373.166666667</v>
      </c>
      <c r="F65" s="909">
        <v>554669.5</v>
      </c>
      <c r="G65" s="85">
        <v>350637.25</v>
      </c>
      <c r="H65" s="220">
        <f t="shared" si="26"/>
        <v>905306.75</v>
      </c>
      <c r="I65" s="220">
        <f t="shared" si="27"/>
        <v>142933.583333333</v>
      </c>
      <c r="J65" s="916">
        <v>60989.8533333333</v>
      </c>
      <c r="K65" s="916">
        <f t="shared" si="28"/>
        <v>72424.54</v>
      </c>
      <c r="L65" s="916">
        <f t="shared" si="29"/>
        <v>11434.6866666667</v>
      </c>
      <c r="M65" s="916">
        <v>10293.3979166667</v>
      </c>
      <c r="N65" s="916">
        <f>0.025*F65</f>
        <v>13866.7375</v>
      </c>
      <c r="O65" s="916">
        <f t="shared" si="30"/>
        <v>3573.3395833333</v>
      </c>
      <c r="P65" s="916">
        <f t="shared" si="31"/>
        <v>869094.48</v>
      </c>
      <c r="Q65" s="916">
        <f>N65*12</f>
        <v>166400.85</v>
      </c>
    </row>
    <row r="66" customHeight="1" spans="1:17">
      <c r="A66" s="10">
        <v>2</v>
      </c>
      <c r="B66" s="11" t="s">
        <v>165</v>
      </c>
      <c r="C66" s="4" t="s">
        <v>51</v>
      </c>
      <c r="D66" s="10" t="s">
        <v>212</v>
      </c>
      <c r="E66" s="85">
        <v>456622.25</v>
      </c>
      <c r="F66" s="909">
        <v>347715.916666667</v>
      </c>
      <c r="G66" s="220">
        <v>210449.333333333</v>
      </c>
      <c r="H66" s="220">
        <f t="shared" si="26"/>
        <v>558165.25</v>
      </c>
      <c r="I66" s="220">
        <f t="shared" si="27"/>
        <v>101543</v>
      </c>
      <c r="J66" s="916">
        <v>35419.72</v>
      </c>
      <c r="K66" s="916">
        <f t="shared" si="28"/>
        <v>44653.22</v>
      </c>
      <c r="L66" s="916">
        <f t="shared" si="29"/>
        <v>9233.5</v>
      </c>
      <c r="M66" s="916"/>
      <c r="N66" s="916"/>
      <c r="O66" s="916">
        <f t="shared" si="30"/>
        <v>0</v>
      </c>
      <c r="P66" s="916">
        <f t="shared" si="31"/>
        <v>535838.64</v>
      </c>
      <c r="Q66" s="916"/>
    </row>
    <row r="67" customHeight="1" spans="1:17">
      <c r="A67" s="10">
        <v>3</v>
      </c>
      <c r="B67" s="11" t="s">
        <v>169</v>
      </c>
      <c r="C67" s="4" t="s">
        <v>150</v>
      </c>
      <c r="D67" s="10" t="s">
        <v>69</v>
      </c>
      <c r="E67" s="85">
        <v>377895.166666667</v>
      </c>
      <c r="F67" s="909">
        <v>294662.916666667</v>
      </c>
      <c r="G67" s="220">
        <v>174165.25</v>
      </c>
      <c r="H67" s="220">
        <f t="shared" si="26"/>
        <v>468828.166666667</v>
      </c>
      <c r="I67" s="220">
        <f t="shared" si="27"/>
        <v>90933</v>
      </c>
      <c r="J67" s="916">
        <v>29256.3066666667</v>
      </c>
      <c r="K67" s="916">
        <f t="shared" si="28"/>
        <v>37506.2533333334</v>
      </c>
      <c r="L67" s="916">
        <f t="shared" si="29"/>
        <v>8249.94666666666</v>
      </c>
      <c r="M67" s="916"/>
      <c r="N67" s="916"/>
      <c r="O67" s="916">
        <f t="shared" si="30"/>
        <v>0</v>
      </c>
      <c r="P67" s="916">
        <f t="shared" si="31"/>
        <v>450075.04</v>
      </c>
      <c r="Q67" s="916"/>
    </row>
    <row r="68" customHeight="1" spans="1:17">
      <c r="A68" s="10">
        <v>4</v>
      </c>
      <c r="B68" s="11" t="s">
        <v>171</v>
      </c>
      <c r="C68" s="17" t="s">
        <v>71</v>
      </c>
      <c r="D68" s="10" t="s">
        <v>69</v>
      </c>
      <c r="E68" s="85">
        <v>377895.166666667</v>
      </c>
      <c r="F68" s="909">
        <v>294662.916666667</v>
      </c>
      <c r="G68" s="220">
        <v>174165.25</v>
      </c>
      <c r="H68" s="220">
        <f t="shared" si="26"/>
        <v>468828.166666667</v>
      </c>
      <c r="I68" s="220">
        <f t="shared" si="27"/>
        <v>90933</v>
      </c>
      <c r="J68" s="916">
        <v>29256.3066666667</v>
      </c>
      <c r="K68" s="916">
        <f t="shared" si="28"/>
        <v>37506.2533333334</v>
      </c>
      <c r="L68" s="916">
        <f t="shared" si="29"/>
        <v>8249.94666666666</v>
      </c>
      <c r="M68" s="916"/>
      <c r="N68" s="916"/>
      <c r="O68" s="916">
        <f t="shared" si="30"/>
        <v>0</v>
      </c>
      <c r="P68" s="916">
        <f t="shared" si="31"/>
        <v>450075.04</v>
      </c>
      <c r="Q68" s="916"/>
    </row>
    <row r="69" customHeight="1" spans="1:17">
      <c r="A69" s="10">
        <v>5</v>
      </c>
      <c r="B69" s="11" t="s">
        <v>172</v>
      </c>
      <c r="C69" s="17" t="s">
        <v>71</v>
      </c>
      <c r="D69" s="10" t="s">
        <v>69</v>
      </c>
      <c r="E69" s="85">
        <v>377895.166666667</v>
      </c>
      <c r="F69" s="909">
        <v>294662.916666667</v>
      </c>
      <c r="G69" s="220">
        <v>174165.25</v>
      </c>
      <c r="H69" s="220">
        <f t="shared" si="26"/>
        <v>468828.166666667</v>
      </c>
      <c r="I69" s="220">
        <f t="shared" si="27"/>
        <v>90933</v>
      </c>
      <c r="J69" s="916">
        <v>29256.3066666667</v>
      </c>
      <c r="K69" s="916">
        <f t="shared" si="28"/>
        <v>37506.2533333334</v>
      </c>
      <c r="L69" s="916">
        <f t="shared" si="29"/>
        <v>8249.94666666666</v>
      </c>
      <c r="M69" s="916"/>
      <c r="N69" s="916"/>
      <c r="O69" s="916">
        <f t="shared" si="30"/>
        <v>0</v>
      </c>
      <c r="P69" s="916">
        <f t="shared" si="31"/>
        <v>450075.04</v>
      </c>
      <c r="Q69" s="916"/>
    </row>
    <row r="70" customHeight="1" spans="1:17">
      <c r="A70" s="10">
        <v>6</v>
      </c>
      <c r="B70" s="11" t="s">
        <v>173</v>
      </c>
      <c r="C70" s="4" t="s">
        <v>553</v>
      </c>
      <c r="D70" s="10" t="s">
        <v>170</v>
      </c>
      <c r="E70" s="457">
        <v>390086.5</v>
      </c>
      <c r="F70" s="909">
        <v>302878.666666667</v>
      </c>
      <c r="G70" s="220">
        <v>179784</v>
      </c>
      <c r="H70" s="220">
        <f t="shared" si="26"/>
        <v>482662.666666667</v>
      </c>
      <c r="I70" s="220">
        <f t="shared" si="27"/>
        <v>92576.166666667</v>
      </c>
      <c r="J70" s="916">
        <v>30231.6133333333</v>
      </c>
      <c r="K70" s="916">
        <f t="shared" si="28"/>
        <v>38613.0133333334</v>
      </c>
      <c r="L70" s="916">
        <f t="shared" si="29"/>
        <v>8381.40000000006</v>
      </c>
      <c r="M70" s="916"/>
      <c r="N70" s="916"/>
      <c r="O70" s="916">
        <f t="shared" si="30"/>
        <v>0</v>
      </c>
      <c r="P70" s="916">
        <f t="shared" si="31"/>
        <v>463356.16</v>
      </c>
      <c r="Q70" s="916"/>
    </row>
    <row r="71" ht="21.6" customHeight="1" spans="1:17">
      <c r="A71" s="10">
        <v>7</v>
      </c>
      <c r="B71" s="11" t="s">
        <v>177</v>
      </c>
      <c r="C71" s="4" t="s">
        <v>150</v>
      </c>
      <c r="D71" s="10" t="s">
        <v>77</v>
      </c>
      <c r="E71" s="220">
        <v>308901.5</v>
      </c>
      <c r="F71" s="909">
        <v>246171.166666667</v>
      </c>
      <c r="G71" s="220">
        <v>143964.666666667</v>
      </c>
      <c r="H71" s="220">
        <f t="shared" si="26"/>
        <v>390135.833333334</v>
      </c>
      <c r="I71" s="220">
        <f t="shared" si="27"/>
        <v>81234.333333334</v>
      </c>
      <c r="J71" s="916">
        <v>24077.2466666667</v>
      </c>
      <c r="K71" s="916">
        <f t="shared" si="28"/>
        <v>31210.8666666667</v>
      </c>
      <c r="L71" s="916">
        <f t="shared" si="29"/>
        <v>7133.62000000002</v>
      </c>
      <c r="M71" s="916"/>
      <c r="N71" s="916">
        <f>0.025*F71</f>
        <v>6154.27916666668</v>
      </c>
      <c r="O71" s="916">
        <f t="shared" si="30"/>
        <v>6154.27916666668</v>
      </c>
      <c r="P71" s="916">
        <f t="shared" si="31"/>
        <v>374530.400000001</v>
      </c>
      <c r="Q71" s="916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33">SUM(E65:E71)</f>
        <v>3051668.91666667</v>
      </c>
      <c r="F72" s="912">
        <f t="shared" si="33"/>
        <v>2335424</v>
      </c>
      <c r="G72" s="93">
        <f t="shared" si="33"/>
        <v>1407331</v>
      </c>
      <c r="H72" s="93">
        <f t="shared" si="33"/>
        <v>3742755</v>
      </c>
      <c r="I72" s="93">
        <f t="shared" si="33"/>
        <v>691086.083333334</v>
      </c>
      <c r="J72" s="93">
        <f t="shared" si="33"/>
        <v>238487.353333333</v>
      </c>
      <c r="K72" s="93">
        <f t="shared" si="33"/>
        <v>299420.4</v>
      </c>
      <c r="L72" s="93">
        <f t="shared" si="33"/>
        <v>60933.0466666668</v>
      </c>
      <c r="M72" s="93">
        <f t="shared" si="33"/>
        <v>10293.3979166667</v>
      </c>
      <c r="N72" s="93">
        <f t="shared" si="33"/>
        <v>20021.0166666667</v>
      </c>
      <c r="O72" s="93">
        <f t="shared" si="33"/>
        <v>9727.61874999998</v>
      </c>
      <c r="P72" s="93">
        <f t="shared" si="33"/>
        <v>3593044.8</v>
      </c>
      <c r="Q72" s="93">
        <f t="shared" si="33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180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181</v>
      </c>
      <c r="C75" s="4" t="s">
        <v>182</v>
      </c>
      <c r="D75" s="10" t="s">
        <v>124</v>
      </c>
      <c r="E75" s="85">
        <v>1435720</v>
      </c>
      <c r="F75" s="909">
        <v>1086777.08333333</v>
      </c>
      <c r="G75" s="220">
        <v>660329.333333333</v>
      </c>
      <c r="H75" s="911">
        <f t="shared" ref="H75:H80" si="34">F75+G75</f>
        <v>1747106.41666666</v>
      </c>
      <c r="I75" s="220">
        <f t="shared" ref="I75:I80" si="35">H75-E75</f>
        <v>311386.416666663</v>
      </c>
      <c r="J75" s="916">
        <v>114857.6</v>
      </c>
      <c r="K75" s="916">
        <f t="shared" ref="K75:K80" si="36">H75*0.08</f>
        <v>139768.513333333</v>
      </c>
      <c r="L75" s="916">
        <f t="shared" ref="L75:L80" si="37">K75-J75</f>
        <v>24910.913333333</v>
      </c>
      <c r="M75" s="916"/>
      <c r="N75" s="916"/>
      <c r="O75" s="916">
        <f t="shared" ref="O75:O80" si="38">N75-M75</f>
        <v>0</v>
      </c>
      <c r="P75" s="916">
        <f t="shared" ref="P75:P80" si="39">K75*12</f>
        <v>1677222.16</v>
      </c>
      <c r="Q75" s="916"/>
    </row>
    <row r="76" customHeight="1" spans="1:17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220">
        <v>276599.666666667</v>
      </c>
      <c r="H76" s="911">
        <f t="shared" si="34"/>
        <v>722595.5</v>
      </c>
      <c r="I76" s="220">
        <f t="shared" si="35"/>
        <v>140477.416666667</v>
      </c>
      <c r="J76" s="916">
        <v>46569.4466666667</v>
      </c>
      <c r="K76" s="916">
        <f t="shared" si="36"/>
        <v>57807.64</v>
      </c>
      <c r="L76" s="916">
        <f t="shared" si="37"/>
        <v>11238.1933333333</v>
      </c>
      <c r="M76" s="916"/>
      <c r="N76" s="916"/>
      <c r="O76" s="916">
        <f t="shared" si="38"/>
        <v>0</v>
      </c>
      <c r="P76" s="916">
        <f t="shared" si="39"/>
        <v>693691.68</v>
      </c>
      <c r="Q76" s="916"/>
    </row>
    <row r="77" customHeight="1" spans="1:17">
      <c r="A77" s="10">
        <v>3</v>
      </c>
      <c r="B77" s="11" t="s">
        <v>187</v>
      </c>
      <c r="C77" s="4" t="s">
        <v>188</v>
      </c>
      <c r="D77" s="15" t="s">
        <v>46</v>
      </c>
      <c r="E77" s="85">
        <v>470498</v>
      </c>
      <c r="F77" s="909">
        <v>357066.666666667</v>
      </c>
      <c r="G77" s="220">
        <v>216844.416666667</v>
      </c>
      <c r="H77" s="911">
        <f t="shared" si="34"/>
        <v>573911.083333334</v>
      </c>
      <c r="I77" s="220">
        <f t="shared" si="35"/>
        <v>103413.083333334</v>
      </c>
      <c r="J77" s="916">
        <v>36529.78</v>
      </c>
      <c r="K77" s="916">
        <f t="shared" si="36"/>
        <v>45912.8866666667</v>
      </c>
      <c r="L77" s="916">
        <f t="shared" si="37"/>
        <v>9383.10666666672</v>
      </c>
      <c r="M77" s="916">
        <v>6154.32291666667</v>
      </c>
      <c r="N77" s="916">
        <f>0.025*F77</f>
        <v>8926.66666666668</v>
      </c>
      <c r="O77" s="916">
        <f t="shared" si="38"/>
        <v>2772.34375000001</v>
      </c>
      <c r="P77" s="916">
        <f t="shared" si="39"/>
        <v>550954.640000001</v>
      </c>
      <c r="Q77" s="916">
        <f>N77*12</f>
        <v>107120</v>
      </c>
    </row>
    <row r="78" customHeight="1" spans="1:17">
      <c r="A78" s="10">
        <v>4</v>
      </c>
      <c r="B78" s="11" t="s">
        <v>194</v>
      </c>
      <c r="C78" s="4" t="s">
        <v>195</v>
      </c>
      <c r="D78" s="10" t="s">
        <v>131</v>
      </c>
      <c r="E78" s="85">
        <v>365703.833333333</v>
      </c>
      <c r="F78" s="909">
        <v>286447.083333333</v>
      </c>
      <c r="G78" s="220">
        <v>168546.5</v>
      </c>
      <c r="H78" s="911">
        <f t="shared" si="34"/>
        <v>454993.583333333</v>
      </c>
      <c r="I78" s="220">
        <f t="shared" si="35"/>
        <v>89289.75</v>
      </c>
      <c r="J78" s="916">
        <v>28281</v>
      </c>
      <c r="K78" s="916">
        <f t="shared" si="36"/>
        <v>36399.4866666666</v>
      </c>
      <c r="L78" s="916">
        <f t="shared" si="37"/>
        <v>8118.48666666664</v>
      </c>
      <c r="M78" s="916"/>
      <c r="N78" s="916"/>
      <c r="O78" s="916">
        <f t="shared" si="38"/>
        <v>0</v>
      </c>
      <c r="P78" s="916">
        <f t="shared" si="39"/>
        <v>436793.84</v>
      </c>
      <c r="Q78" s="916"/>
    </row>
    <row r="79" customHeight="1" spans="1:17">
      <c r="A79" s="10">
        <v>5</v>
      </c>
      <c r="B79" s="11" t="s">
        <v>198</v>
      </c>
      <c r="C79" s="4" t="s">
        <v>179</v>
      </c>
      <c r="D79" s="10" t="s">
        <v>99</v>
      </c>
      <c r="E79" s="85">
        <v>263165.333333333</v>
      </c>
      <c r="F79" s="909">
        <v>222674.583333333</v>
      </c>
      <c r="G79" s="220">
        <v>124341.583333333</v>
      </c>
      <c r="H79" s="911">
        <f t="shared" si="34"/>
        <v>347016.166666666</v>
      </c>
      <c r="I79" s="220">
        <f t="shared" si="35"/>
        <v>83850.833333333</v>
      </c>
      <c r="J79" s="916">
        <v>21053.2266666667</v>
      </c>
      <c r="K79" s="916">
        <f t="shared" si="36"/>
        <v>27761.2933333333</v>
      </c>
      <c r="L79" s="916">
        <f t="shared" si="37"/>
        <v>6708.06666666658</v>
      </c>
      <c r="M79" s="916"/>
      <c r="N79" s="916">
        <f>0.025*F79</f>
        <v>5566.86458333332</v>
      </c>
      <c r="O79" s="916">
        <f t="shared" si="38"/>
        <v>5566.86458333332</v>
      </c>
      <c r="P79" s="916">
        <f t="shared" si="39"/>
        <v>333135.519999999</v>
      </c>
      <c r="Q79" s="916"/>
    </row>
    <row r="80" customHeight="1" spans="1:17">
      <c r="A80" s="10">
        <v>6</v>
      </c>
      <c r="B80" s="11" t="s">
        <v>200</v>
      </c>
      <c r="C80" s="4" t="s">
        <v>201</v>
      </c>
      <c r="D80" s="10" t="s">
        <v>108</v>
      </c>
      <c r="E80" s="85">
        <v>230631.916666667</v>
      </c>
      <c r="F80" s="909">
        <v>196364.416666667</v>
      </c>
      <c r="G80" s="220">
        <v>105546.333333333</v>
      </c>
      <c r="H80" s="911">
        <f t="shared" si="34"/>
        <v>301910.75</v>
      </c>
      <c r="I80" s="220">
        <f t="shared" si="35"/>
        <v>71278.833333333</v>
      </c>
      <c r="J80" s="916">
        <v>17956.78</v>
      </c>
      <c r="K80" s="916">
        <f t="shared" si="36"/>
        <v>24152.86</v>
      </c>
      <c r="L80" s="916">
        <f t="shared" si="37"/>
        <v>6196.08</v>
      </c>
      <c r="M80" s="916"/>
      <c r="N80" s="916"/>
      <c r="O80" s="916">
        <f t="shared" si="38"/>
        <v>0</v>
      </c>
      <c r="P80" s="916">
        <f t="shared" si="39"/>
        <v>289834.32</v>
      </c>
      <c r="Q80" s="916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40">SUM(E75:E80)</f>
        <v>3347837.16666667</v>
      </c>
      <c r="F81" s="912">
        <f t="shared" si="40"/>
        <v>2595325.66666666</v>
      </c>
      <c r="G81" s="93">
        <f t="shared" si="40"/>
        <v>1552207.83333333</v>
      </c>
      <c r="H81" s="93">
        <f t="shared" si="40"/>
        <v>4147533.5</v>
      </c>
      <c r="I81" s="93">
        <f t="shared" si="40"/>
        <v>799696.33333333</v>
      </c>
      <c r="J81" s="93">
        <f t="shared" si="40"/>
        <v>265247.833333333</v>
      </c>
      <c r="K81" s="93">
        <f t="shared" si="40"/>
        <v>331802.68</v>
      </c>
      <c r="L81" s="93">
        <f t="shared" si="40"/>
        <v>66554.8466666663</v>
      </c>
      <c r="M81" s="93">
        <f t="shared" si="40"/>
        <v>6154.32291666667</v>
      </c>
      <c r="N81" s="93">
        <f t="shared" si="40"/>
        <v>14493.53125</v>
      </c>
      <c r="O81" s="93">
        <f t="shared" si="40"/>
        <v>8339.20833333333</v>
      </c>
      <c r="P81" s="93">
        <f t="shared" si="40"/>
        <v>3981632.16</v>
      </c>
      <c r="Q81" s="93">
        <f t="shared" si="40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202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203</v>
      </c>
      <c r="C84" s="4" t="s">
        <v>142</v>
      </c>
      <c r="D84" s="10" t="s">
        <v>505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41">F84+G84</f>
        <v>1647612</v>
      </c>
      <c r="I84" s="220">
        <f t="shared" ref="I84:I93" si="42">H84-E84</f>
        <v>295569.33333333</v>
      </c>
      <c r="J84" s="916">
        <v>114857.6</v>
      </c>
      <c r="K84" s="916">
        <f t="shared" ref="K84:K93" si="43">H84*0.08</f>
        <v>131808.96</v>
      </c>
      <c r="L84" s="916">
        <f t="shared" ref="L84:L93" si="44">K84-J84</f>
        <v>16951.3599999998</v>
      </c>
      <c r="M84" s="916">
        <v>18254.975</v>
      </c>
      <c r="N84" s="916">
        <f>0.025*F84</f>
        <v>25644.2083333333</v>
      </c>
      <c r="O84" s="916">
        <f t="shared" ref="O84:O93" si="45">N84-M84</f>
        <v>7389.23333333325</v>
      </c>
      <c r="P84" s="916">
        <f t="shared" ref="P84:P93" si="46"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205</v>
      </c>
      <c r="C85" s="4" t="s">
        <v>206</v>
      </c>
      <c r="D85" s="10" t="s">
        <v>506</v>
      </c>
      <c r="E85" s="85">
        <v>716034</v>
      </c>
      <c r="F85" s="909">
        <v>523386.5</v>
      </c>
      <c r="G85" s="85">
        <v>329324.583333333</v>
      </c>
      <c r="H85" s="220">
        <f t="shared" si="41"/>
        <v>852711.083333333</v>
      </c>
      <c r="I85" s="220">
        <f t="shared" si="42"/>
        <v>136677.083333333</v>
      </c>
      <c r="J85" s="916">
        <v>59136.2866666667</v>
      </c>
      <c r="K85" s="916">
        <f t="shared" si="43"/>
        <v>68216.8866666666</v>
      </c>
      <c r="L85" s="916">
        <f t="shared" si="44"/>
        <v>9080.59999999994</v>
      </c>
      <c r="M85" s="916"/>
      <c r="N85" s="916"/>
      <c r="O85" s="916">
        <f t="shared" si="45"/>
        <v>0</v>
      </c>
      <c r="P85" s="916">
        <f t="shared" si="46"/>
        <v>818602.64</v>
      </c>
      <c r="Q85" s="916"/>
    </row>
    <row r="86" customHeight="1" spans="1:17">
      <c r="A86" s="10">
        <v>3</v>
      </c>
      <c r="B86" s="11" t="s">
        <v>208</v>
      </c>
      <c r="C86" s="4" t="s">
        <v>142</v>
      </c>
      <c r="D86" s="10" t="s">
        <v>49</v>
      </c>
      <c r="E86" s="85">
        <v>601396.833333333</v>
      </c>
      <c r="F86" s="909">
        <v>445995.833333333</v>
      </c>
      <c r="G86" s="220">
        <v>276599.666666667</v>
      </c>
      <c r="H86" s="220">
        <f t="shared" si="41"/>
        <v>722595.5</v>
      </c>
      <c r="I86" s="220">
        <f t="shared" si="42"/>
        <v>121198.666666667</v>
      </c>
      <c r="J86" s="916">
        <v>46569.4466666667</v>
      </c>
      <c r="K86" s="916">
        <f t="shared" si="43"/>
        <v>57807.64</v>
      </c>
      <c r="L86" s="916">
        <f t="shared" si="44"/>
        <v>11238.1933333333</v>
      </c>
      <c r="M86" s="916"/>
      <c r="N86" s="916"/>
      <c r="O86" s="916">
        <f t="shared" si="45"/>
        <v>0</v>
      </c>
      <c r="P86" s="916">
        <f t="shared" si="46"/>
        <v>693691.68</v>
      </c>
      <c r="Q86" s="916"/>
    </row>
    <row r="87" ht="21.6" customHeight="1" spans="1:17">
      <c r="A87" s="10">
        <v>4</v>
      </c>
      <c r="B87" s="11" t="s">
        <v>209</v>
      </c>
      <c r="C87" s="4" t="s">
        <v>51</v>
      </c>
      <c r="D87" s="15" t="s">
        <v>212</v>
      </c>
      <c r="E87" s="85">
        <v>456622.25</v>
      </c>
      <c r="F87" s="909">
        <v>347715.916666667</v>
      </c>
      <c r="G87" s="220">
        <v>210449.333333333</v>
      </c>
      <c r="H87" s="220">
        <f t="shared" si="41"/>
        <v>558165.25</v>
      </c>
      <c r="I87" s="220">
        <f t="shared" si="42"/>
        <v>101543</v>
      </c>
      <c r="J87" s="916">
        <v>35344.3933333333</v>
      </c>
      <c r="K87" s="916">
        <f t="shared" si="43"/>
        <v>44653.22</v>
      </c>
      <c r="L87" s="916">
        <f t="shared" si="44"/>
        <v>9308.8266666667</v>
      </c>
      <c r="M87" s="916"/>
      <c r="N87" s="916"/>
      <c r="O87" s="916">
        <f t="shared" si="45"/>
        <v>0</v>
      </c>
      <c r="P87" s="916">
        <f t="shared" si="46"/>
        <v>535838.64</v>
      </c>
      <c r="Q87" s="916"/>
    </row>
    <row r="88" ht="21.6" customHeight="1" spans="1:17">
      <c r="A88" s="10">
        <v>5</v>
      </c>
      <c r="B88" s="11" t="s">
        <v>210</v>
      </c>
      <c r="C88" s="4" t="s">
        <v>51</v>
      </c>
      <c r="D88" s="15" t="s">
        <v>212</v>
      </c>
      <c r="E88" s="85">
        <v>456622.25</v>
      </c>
      <c r="F88" s="909">
        <v>347716.916666667</v>
      </c>
      <c r="G88" s="220">
        <v>210449.333333333</v>
      </c>
      <c r="H88" s="220">
        <f t="shared" si="41"/>
        <v>558166.25</v>
      </c>
      <c r="I88" s="220">
        <f t="shared" si="42"/>
        <v>101544</v>
      </c>
      <c r="J88" s="916">
        <v>35419.72</v>
      </c>
      <c r="K88" s="916">
        <f t="shared" si="43"/>
        <v>44653.3</v>
      </c>
      <c r="L88" s="916">
        <f t="shared" si="44"/>
        <v>9233.58</v>
      </c>
      <c r="M88" s="916"/>
      <c r="N88" s="916">
        <f t="shared" ref="N88:N93" si="47">0.025*F88</f>
        <v>8692.92291666668</v>
      </c>
      <c r="O88" s="916">
        <f t="shared" si="45"/>
        <v>8692.92291666668</v>
      </c>
      <c r="P88" s="916">
        <f t="shared" si="46"/>
        <v>535839.6</v>
      </c>
      <c r="Q88" s="916">
        <f>N88*12</f>
        <v>104315.075</v>
      </c>
    </row>
    <row r="89" ht="21.6" customHeight="1" spans="1:17">
      <c r="A89" s="10">
        <v>6</v>
      </c>
      <c r="B89" s="11" t="s">
        <v>211</v>
      </c>
      <c r="C89" s="12" t="s">
        <v>51</v>
      </c>
      <c r="D89" s="15" t="s">
        <v>52</v>
      </c>
      <c r="E89" s="85">
        <v>442746.5</v>
      </c>
      <c r="F89" s="909">
        <v>338365.25</v>
      </c>
      <c r="G89" s="220">
        <v>204054.25</v>
      </c>
      <c r="H89" s="220">
        <f t="shared" si="41"/>
        <v>542419.5</v>
      </c>
      <c r="I89" s="220">
        <f t="shared" si="42"/>
        <v>99673</v>
      </c>
      <c r="J89" s="916">
        <v>34309.66</v>
      </c>
      <c r="K89" s="916">
        <f t="shared" si="43"/>
        <v>43393.56</v>
      </c>
      <c r="L89" s="916">
        <f t="shared" si="44"/>
        <v>9083.89999999999</v>
      </c>
      <c r="M89" s="916"/>
      <c r="N89" s="916"/>
      <c r="O89" s="916">
        <f t="shared" si="45"/>
        <v>0</v>
      </c>
      <c r="P89" s="916">
        <f t="shared" si="46"/>
        <v>520722.72</v>
      </c>
      <c r="Q89" s="916"/>
    </row>
    <row r="90" ht="21.6" customHeight="1" spans="1:17">
      <c r="A90" s="10">
        <v>7</v>
      </c>
      <c r="B90" s="11" t="s">
        <v>213</v>
      </c>
      <c r="C90" s="17" t="s">
        <v>71</v>
      </c>
      <c r="D90" s="15" t="s">
        <v>69</v>
      </c>
      <c r="E90" s="85">
        <v>377895.166666667</v>
      </c>
      <c r="F90" s="909">
        <v>294662.916666667</v>
      </c>
      <c r="G90" s="220">
        <v>174165.25</v>
      </c>
      <c r="H90" s="220">
        <f t="shared" si="41"/>
        <v>468828.166666667</v>
      </c>
      <c r="I90" s="220">
        <f t="shared" si="42"/>
        <v>90933</v>
      </c>
      <c r="J90" s="916">
        <v>29256.3066666667</v>
      </c>
      <c r="K90" s="916">
        <f t="shared" si="43"/>
        <v>37506.2533333334</v>
      </c>
      <c r="L90" s="916">
        <f t="shared" si="44"/>
        <v>8249.94666666666</v>
      </c>
      <c r="M90" s="916"/>
      <c r="N90" s="916"/>
      <c r="O90" s="916">
        <f t="shared" si="45"/>
        <v>0</v>
      </c>
      <c r="P90" s="916">
        <f t="shared" si="46"/>
        <v>450075.04</v>
      </c>
      <c r="Q90" s="916"/>
    </row>
    <row r="91" ht="21.6" customHeight="1" spans="1:17">
      <c r="A91" s="10">
        <v>8</v>
      </c>
      <c r="B91" s="11" t="s">
        <v>214</v>
      </c>
      <c r="C91" s="17" t="s">
        <v>167</v>
      </c>
      <c r="D91" s="15" t="s">
        <v>63</v>
      </c>
      <c r="E91" s="85">
        <v>403137.916666667</v>
      </c>
      <c r="F91" s="909">
        <v>311673.25</v>
      </c>
      <c r="G91" s="220">
        <v>185799.5</v>
      </c>
      <c r="H91" s="220">
        <f t="shared" si="41"/>
        <v>497472.75</v>
      </c>
      <c r="I91" s="220">
        <f t="shared" si="42"/>
        <v>94334.833333333</v>
      </c>
      <c r="J91" s="916">
        <v>31219.9133333333</v>
      </c>
      <c r="K91" s="916">
        <f t="shared" si="43"/>
        <v>39797.82</v>
      </c>
      <c r="L91" s="916">
        <f t="shared" si="44"/>
        <v>8577.9066666667</v>
      </c>
      <c r="M91" s="916">
        <v>5259.74375</v>
      </c>
      <c r="N91" s="916">
        <f t="shared" si="47"/>
        <v>7791.83125</v>
      </c>
      <c r="O91" s="916">
        <f t="shared" si="45"/>
        <v>2532.0875</v>
      </c>
      <c r="P91" s="916">
        <f t="shared" si="46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217</v>
      </c>
      <c r="C92" s="4" t="s">
        <v>218</v>
      </c>
      <c r="D92" s="10" t="s">
        <v>77</v>
      </c>
      <c r="E92" s="220">
        <v>308901.5</v>
      </c>
      <c r="F92" s="909">
        <v>246171.166666667</v>
      </c>
      <c r="G92" s="220">
        <v>143964.666666667</v>
      </c>
      <c r="H92" s="220">
        <f t="shared" si="41"/>
        <v>390135.833333334</v>
      </c>
      <c r="I92" s="220">
        <f t="shared" si="42"/>
        <v>81234.333333334</v>
      </c>
      <c r="J92" s="916">
        <v>24077.2466666667</v>
      </c>
      <c r="K92" s="916">
        <f t="shared" si="43"/>
        <v>31210.8666666667</v>
      </c>
      <c r="L92" s="916">
        <f t="shared" si="44"/>
        <v>7133.62000000002</v>
      </c>
      <c r="M92" s="916"/>
      <c r="N92" s="916"/>
      <c r="O92" s="916">
        <f t="shared" si="45"/>
        <v>0</v>
      </c>
      <c r="P92" s="916">
        <f t="shared" si="46"/>
        <v>374530.400000001</v>
      </c>
      <c r="Q92" s="916"/>
    </row>
    <row r="93" ht="21.6" customHeight="1" spans="1:17">
      <c r="A93" s="10">
        <v>10</v>
      </c>
      <c r="B93" s="11" t="s">
        <v>221</v>
      </c>
      <c r="C93" s="17" t="s">
        <v>222</v>
      </c>
      <c r="D93" s="15" t="s">
        <v>105</v>
      </c>
      <c r="E93" s="220">
        <v>236804.083333333</v>
      </c>
      <c r="F93" s="909">
        <v>200549.416666667</v>
      </c>
      <c r="G93" s="220">
        <v>108371.25</v>
      </c>
      <c r="H93" s="220">
        <f t="shared" si="41"/>
        <v>308920.666666667</v>
      </c>
      <c r="I93" s="220">
        <f t="shared" si="42"/>
        <v>72116.583333334</v>
      </c>
      <c r="J93" s="916">
        <v>18450.5533333333</v>
      </c>
      <c r="K93" s="916">
        <f t="shared" si="43"/>
        <v>24713.6533333334</v>
      </c>
      <c r="L93" s="916">
        <f t="shared" si="44"/>
        <v>6263.10000000006</v>
      </c>
      <c r="M93" s="916"/>
      <c r="N93" s="916">
        <f t="shared" si="47"/>
        <v>5013.73541666668</v>
      </c>
      <c r="O93" s="916">
        <f t="shared" si="45"/>
        <v>5013.73541666668</v>
      </c>
      <c r="P93" s="916">
        <f t="shared" si="46"/>
        <v>296563.84</v>
      </c>
      <c r="Q93" s="916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48">SUM(E84:E93)</f>
        <v>5352203.16666667</v>
      </c>
      <c r="F94" s="912">
        <f t="shared" si="48"/>
        <v>4082005.5</v>
      </c>
      <c r="G94" s="93">
        <f t="shared" si="48"/>
        <v>2465021.5</v>
      </c>
      <c r="H94" s="93">
        <f t="shared" si="48"/>
        <v>6547027</v>
      </c>
      <c r="I94" s="93">
        <f t="shared" si="48"/>
        <v>1194823.83333333</v>
      </c>
      <c r="J94" s="93">
        <f t="shared" si="48"/>
        <v>428641.126666667</v>
      </c>
      <c r="K94" s="93">
        <f t="shared" si="48"/>
        <v>523762.16</v>
      </c>
      <c r="L94" s="93">
        <f t="shared" si="48"/>
        <v>95121.0333333332</v>
      </c>
      <c r="M94" s="93">
        <f t="shared" si="48"/>
        <v>23514.71875</v>
      </c>
      <c r="N94" s="93">
        <f t="shared" si="48"/>
        <v>47142.6979166666</v>
      </c>
      <c r="O94" s="93">
        <f t="shared" si="48"/>
        <v>23627.9791666666</v>
      </c>
      <c r="P94" s="93">
        <f t="shared" si="48"/>
        <v>6285145.92</v>
      </c>
      <c r="Q94" s="93">
        <f t="shared" si="48"/>
        <v>505547.549999999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224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225</v>
      </c>
      <c r="C97" s="4" t="s">
        <v>554</v>
      </c>
      <c r="D97" s="16" t="s">
        <v>140</v>
      </c>
      <c r="E97" s="85">
        <v>1393881.33333333</v>
      </c>
      <c r="F97" s="909">
        <v>1056272.83333333</v>
      </c>
      <c r="G97" s="220">
        <v>641086.5</v>
      </c>
      <c r="H97" s="911">
        <f t="shared" ref="H97:H101" si="49">F97+G97</f>
        <v>1697359.33333333</v>
      </c>
      <c r="I97" s="220">
        <f t="shared" ref="I97:I101" si="50">H97-E97</f>
        <v>303478</v>
      </c>
      <c r="J97" s="916">
        <v>114857.6</v>
      </c>
      <c r="K97" s="916">
        <f t="shared" ref="K97:K101" si="51">H97*0.08</f>
        <v>135788.746666666</v>
      </c>
      <c r="L97" s="916">
        <f t="shared" ref="L97:L101" si="52">K97-J97</f>
        <v>20931.1466666664</v>
      </c>
      <c r="M97" s="916">
        <v>18254.975</v>
      </c>
      <c r="N97" s="916">
        <f>0.025*F97</f>
        <v>26406.8208333333</v>
      </c>
      <c r="O97" s="916">
        <f t="shared" ref="O97:O101" si="53">N97-M97</f>
        <v>8151.84583333325</v>
      </c>
      <c r="P97" s="916">
        <f t="shared" ref="P97:P101" si="54">12*K97</f>
        <v>1629464.96</v>
      </c>
      <c r="Q97" s="916">
        <f t="shared" ref="Q97:Q101" si="55">N97*12</f>
        <v>316881.849999999</v>
      </c>
    </row>
    <row r="98" customHeight="1" spans="1:17">
      <c r="A98" s="10">
        <v>2</v>
      </c>
      <c r="B98" s="11" t="s">
        <v>227</v>
      </c>
      <c r="C98" s="4" t="s">
        <v>228</v>
      </c>
      <c r="D98" s="15" t="s">
        <v>46</v>
      </c>
      <c r="E98" s="85">
        <v>470498</v>
      </c>
      <c r="F98" s="909">
        <v>357066.666666667</v>
      </c>
      <c r="G98" s="220">
        <v>216844.416666667</v>
      </c>
      <c r="H98" s="911">
        <f t="shared" si="49"/>
        <v>573911.083333334</v>
      </c>
      <c r="I98" s="220">
        <f t="shared" si="50"/>
        <v>103413.083333334</v>
      </c>
      <c r="J98" s="916">
        <v>36529.78</v>
      </c>
      <c r="K98" s="916">
        <f t="shared" si="51"/>
        <v>45912.8866666667</v>
      </c>
      <c r="L98" s="916">
        <f t="shared" si="52"/>
        <v>9383.10666666672</v>
      </c>
      <c r="M98" s="916"/>
      <c r="N98" s="916"/>
      <c r="O98" s="916">
        <f t="shared" si="53"/>
        <v>0</v>
      </c>
      <c r="P98" s="916">
        <f t="shared" si="54"/>
        <v>550954.640000001</v>
      </c>
      <c r="Q98" s="916">
        <f t="shared" si="55"/>
        <v>0</v>
      </c>
    </row>
    <row r="99" customHeight="1" spans="1:17">
      <c r="A99" s="10">
        <v>3</v>
      </c>
      <c r="B99" s="11" t="s">
        <v>229</v>
      </c>
      <c r="C99" s="12" t="s">
        <v>230</v>
      </c>
      <c r="D99" s="15" t="s">
        <v>63</v>
      </c>
      <c r="E99" s="85">
        <v>403137.916666667</v>
      </c>
      <c r="F99" s="909">
        <v>311673.25</v>
      </c>
      <c r="G99" s="220">
        <v>185799.5</v>
      </c>
      <c r="H99" s="911">
        <f t="shared" si="49"/>
        <v>497472.75</v>
      </c>
      <c r="I99" s="220">
        <f t="shared" si="50"/>
        <v>94334.833333333</v>
      </c>
      <c r="J99" s="916">
        <v>31219.91</v>
      </c>
      <c r="K99" s="916">
        <f t="shared" si="51"/>
        <v>39797.82</v>
      </c>
      <c r="L99" s="916">
        <f t="shared" si="52"/>
        <v>8577.91</v>
      </c>
      <c r="M99" s="916">
        <v>5967.30625</v>
      </c>
      <c r="N99" s="916">
        <f>0.025*F99</f>
        <v>7791.83125</v>
      </c>
      <c r="O99" s="916">
        <f t="shared" si="53"/>
        <v>1824.525</v>
      </c>
      <c r="P99" s="916">
        <f t="shared" si="54"/>
        <v>477573.84</v>
      </c>
      <c r="Q99" s="916">
        <f t="shared" si="55"/>
        <v>93501.975</v>
      </c>
    </row>
    <row r="100" customHeight="1" spans="1:17">
      <c r="A100" s="10">
        <v>4</v>
      </c>
      <c r="B100" s="11" t="s">
        <v>233</v>
      </c>
      <c r="C100" s="4" t="s">
        <v>555</v>
      </c>
      <c r="D100" s="15" t="s">
        <v>170</v>
      </c>
      <c r="E100" s="85">
        <v>390086.5</v>
      </c>
      <c r="F100" s="909">
        <v>302878.666666667</v>
      </c>
      <c r="G100" s="220">
        <v>179784</v>
      </c>
      <c r="H100" s="911">
        <f t="shared" si="49"/>
        <v>482662.666666667</v>
      </c>
      <c r="I100" s="220">
        <f t="shared" si="50"/>
        <v>92576.166666667</v>
      </c>
      <c r="J100" s="916">
        <v>30231.6133333333</v>
      </c>
      <c r="K100" s="916">
        <f t="shared" si="51"/>
        <v>38613.0133333334</v>
      </c>
      <c r="L100" s="916">
        <f t="shared" si="52"/>
        <v>8381.40000000006</v>
      </c>
      <c r="M100" s="916"/>
      <c r="N100" s="916"/>
      <c r="O100" s="916">
        <f t="shared" si="53"/>
        <v>0</v>
      </c>
      <c r="P100" s="916">
        <f t="shared" si="54"/>
        <v>463356.16</v>
      </c>
      <c r="Q100" s="916">
        <f t="shared" si="55"/>
        <v>0</v>
      </c>
    </row>
    <row r="101" customHeight="1" spans="1:17">
      <c r="A101" s="10">
        <v>5</v>
      </c>
      <c r="B101" s="11" t="s">
        <v>234</v>
      </c>
      <c r="C101" s="4" t="s">
        <v>197</v>
      </c>
      <c r="D101" s="15" t="s">
        <v>77</v>
      </c>
      <c r="E101" s="220">
        <v>308901.5</v>
      </c>
      <c r="F101" s="909">
        <v>246171.166666667</v>
      </c>
      <c r="G101" s="220">
        <v>143964.666666667</v>
      </c>
      <c r="H101" s="911">
        <f t="shared" si="49"/>
        <v>390135.833333334</v>
      </c>
      <c r="I101" s="220">
        <f t="shared" si="50"/>
        <v>81234.333333334</v>
      </c>
      <c r="J101" s="916">
        <v>24077.2466666667</v>
      </c>
      <c r="K101" s="916">
        <f t="shared" si="51"/>
        <v>31210.8666666667</v>
      </c>
      <c r="L101" s="916">
        <f t="shared" si="52"/>
        <v>7133.62000000002</v>
      </c>
      <c r="M101" s="916"/>
      <c r="N101" s="916"/>
      <c r="O101" s="916">
        <f t="shared" si="53"/>
        <v>0</v>
      </c>
      <c r="P101" s="916">
        <f t="shared" si="54"/>
        <v>374530.400000001</v>
      </c>
      <c r="Q101" s="916">
        <f t="shared" si="55"/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56">SUM(E97:E101)</f>
        <v>2966505.25</v>
      </c>
      <c r="F102" s="912">
        <f t="shared" si="56"/>
        <v>2274062.58333333</v>
      </c>
      <c r="G102" s="93">
        <f t="shared" si="56"/>
        <v>1367479.08333333</v>
      </c>
      <c r="H102" s="93">
        <f t="shared" si="56"/>
        <v>3641541.66666667</v>
      </c>
      <c r="I102" s="93">
        <f t="shared" si="56"/>
        <v>675036.416666668</v>
      </c>
      <c r="J102" s="93">
        <f t="shared" si="56"/>
        <v>236916.15</v>
      </c>
      <c r="K102" s="93">
        <f t="shared" si="56"/>
        <v>291323.333333333</v>
      </c>
      <c r="L102" s="93">
        <f t="shared" si="56"/>
        <v>54407.1833333332</v>
      </c>
      <c r="M102" s="93">
        <f t="shared" si="56"/>
        <v>24222.28125</v>
      </c>
      <c r="N102" s="93">
        <f t="shared" si="56"/>
        <v>34198.6520833333</v>
      </c>
      <c r="O102" s="93">
        <f t="shared" si="56"/>
        <v>9976.37083333325</v>
      </c>
      <c r="P102" s="93">
        <f t="shared" si="56"/>
        <v>3495880</v>
      </c>
      <c r="Q102" s="93">
        <f t="shared" si="56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237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556</v>
      </c>
      <c r="C105" s="12" t="s">
        <v>239</v>
      </c>
      <c r="D105" s="15" t="s">
        <v>124</v>
      </c>
      <c r="E105" s="85">
        <v>1435720</v>
      </c>
      <c r="F105" s="909">
        <v>1086777.08333333</v>
      </c>
      <c r="G105" s="220">
        <v>660329.333333333</v>
      </c>
      <c r="H105" s="911">
        <f t="shared" ref="H105:H111" si="57">F105+G105</f>
        <v>1747106.41666666</v>
      </c>
      <c r="I105" s="220">
        <f t="shared" ref="I105:I111" si="58">H105-E105</f>
        <v>311386.416666663</v>
      </c>
      <c r="J105" s="916">
        <v>114857.6</v>
      </c>
      <c r="K105" s="916">
        <f t="shared" ref="K105:K111" si="59">H105*0.08</f>
        <v>139768.513333333</v>
      </c>
      <c r="L105" s="916">
        <f t="shared" ref="L105:L111" si="60">K105-J105</f>
        <v>24910.913333333</v>
      </c>
      <c r="M105" s="916">
        <v>0</v>
      </c>
      <c r="N105" s="916"/>
      <c r="O105" s="916">
        <f t="shared" ref="O105:O111" si="61">N105-M105</f>
        <v>0</v>
      </c>
      <c r="P105" s="916">
        <f t="shared" ref="P105:P111" si="62">K105*12</f>
        <v>1677222.16</v>
      </c>
      <c r="Q105" s="916"/>
    </row>
    <row r="106" customHeight="1" spans="1:17">
      <c r="A106" s="4">
        <v>2</v>
      </c>
      <c r="B106" s="11" t="s">
        <v>240</v>
      </c>
      <c r="C106" s="4" t="s">
        <v>241</v>
      </c>
      <c r="D106" s="16" t="s">
        <v>35</v>
      </c>
      <c r="E106" s="85">
        <v>762373.166666667</v>
      </c>
      <c r="F106" s="909">
        <v>554669.5</v>
      </c>
      <c r="G106" s="220">
        <v>350637.25</v>
      </c>
      <c r="H106" s="911">
        <f t="shared" si="57"/>
        <v>905306.75</v>
      </c>
      <c r="I106" s="220">
        <f t="shared" si="58"/>
        <v>142933.583333333</v>
      </c>
      <c r="J106" s="916">
        <v>60989.8533333333</v>
      </c>
      <c r="K106" s="916">
        <f t="shared" si="59"/>
        <v>72424.54</v>
      </c>
      <c r="L106" s="916">
        <f t="shared" si="60"/>
        <v>11434.6866666667</v>
      </c>
      <c r="M106" s="916">
        <v>10293.3979166667</v>
      </c>
      <c r="N106" s="916">
        <f t="shared" ref="N106:N111" si="63">0.025*F106</f>
        <v>13866.7375</v>
      </c>
      <c r="O106" s="916">
        <f t="shared" si="61"/>
        <v>3573.3395833333</v>
      </c>
      <c r="P106" s="916">
        <f t="shared" si="62"/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242</v>
      </c>
      <c r="C107" s="4" t="s">
        <v>557</v>
      </c>
      <c r="D107" s="10" t="s">
        <v>55</v>
      </c>
      <c r="E107" s="85">
        <v>441804.916666667</v>
      </c>
      <c r="F107" s="909">
        <v>337730.833333333</v>
      </c>
      <c r="G107" s="220">
        <v>203620.5</v>
      </c>
      <c r="H107" s="911">
        <f t="shared" si="57"/>
        <v>541351.333333333</v>
      </c>
      <c r="I107" s="220">
        <f t="shared" si="58"/>
        <v>99546.416666666</v>
      </c>
      <c r="J107" s="916">
        <v>35344.3933333333</v>
      </c>
      <c r="K107" s="916">
        <f t="shared" si="59"/>
        <v>43308.1066666666</v>
      </c>
      <c r="L107" s="916">
        <f t="shared" si="60"/>
        <v>7963.71333333335</v>
      </c>
      <c r="M107" s="916">
        <v>5954.61041666667</v>
      </c>
      <c r="N107" s="916">
        <f t="shared" si="63"/>
        <v>8443.27083333333</v>
      </c>
      <c r="O107" s="916">
        <f t="shared" si="61"/>
        <v>2488.66041666666</v>
      </c>
      <c r="P107" s="916">
        <f t="shared" si="62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244</v>
      </c>
      <c r="C108" s="4" t="s">
        <v>557</v>
      </c>
      <c r="D108" s="10" t="s">
        <v>501</v>
      </c>
      <c r="E108" s="85">
        <v>441804.916666667</v>
      </c>
      <c r="F108" s="909">
        <v>338365.25</v>
      </c>
      <c r="G108" s="220">
        <v>204054.25</v>
      </c>
      <c r="H108" s="911">
        <f t="shared" si="57"/>
        <v>542419.5</v>
      </c>
      <c r="I108" s="220">
        <f t="shared" si="58"/>
        <v>100614.583333333</v>
      </c>
      <c r="J108" s="916">
        <v>35344.3933333333</v>
      </c>
      <c r="K108" s="916">
        <f t="shared" si="59"/>
        <v>43393.56</v>
      </c>
      <c r="L108" s="916">
        <f t="shared" si="60"/>
        <v>8049.1666666667</v>
      </c>
      <c r="M108" s="916"/>
      <c r="N108" s="916"/>
      <c r="O108" s="916">
        <f t="shared" si="61"/>
        <v>0</v>
      </c>
      <c r="P108" s="916">
        <f t="shared" si="62"/>
        <v>520722.72</v>
      </c>
      <c r="Q108" s="916"/>
    </row>
    <row r="109" customHeight="1" spans="1:17">
      <c r="A109" s="4">
        <v>5</v>
      </c>
      <c r="B109" s="11" t="s">
        <v>247</v>
      </c>
      <c r="C109" s="4" t="s">
        <v>248</v>
      </c>
      <c r="D109" s="15" t="s">
        <v>507</v>
      </c>
      <c r="E109" s="220">
        <v>255320.583333333</v>
      </c>
      <c r="F109" s="909">
        <v>213104.416666667</v>
      </c>
      <c r="G109" s="220">
        <v>116846</v>
      </c>
      <c r="H109" s="911">
        <f t="shared" si="57"/>
        <v>329950.416666667</v>
      </c>
      <c r="I109" s="220">
        <f t="shared" si="58"/>
        <v>74629.833333334</v>
      </c>
      <c r="J109" s="916">
        <v>19931.8733333333</v>
      </c>
      <c r="K109" s="916">
        <f t="shared" si="59"/>
        <v>26396.0333333334</v>
      </c>
      <c r="L109" s="916">
        <f t="shared" si="60"/>
        <v>6464.16000000006</v>
      </c>
      <c r="M109" s="916"/>
      <c r="N109" s="916"/>
      <c r="O109" s="916">
        <f t="shared" si="61"/>
        <v>0</v>
      </c>
      <c r="P109" s="916">
        <f t="shared" si="62"/>
        <v>316752.4</v>
      </c>
      <c r="Q109" s="916"/>
    </row>
    <row r="110" customHeight="1" spans="1:17">
      <c r="A110" s="4">
        <v>6</v>
      </c>
      <c r="B110" s="18" t="s">
        <v>250</v>
      </c>
      <c r="C110" s="4" t="s">
        <v>248</v>
      </c>
      <c r="D110" s="10" t="s">
        <v>344</v>
      </c>
      <c r="E110" s="220">
        <v>255849</v>
      </c>
      <c r="F110" s="909">
        <v>212792.166666667</v>
      </c>
      <c r="G110" s="220">
        <v>117614.916666667</v>
      </c>
      <c r="H110" s="911">
        <f t="shared" si="57"/>
        <v>330407.083333334</v>
      </c>
      <c r="I110" s="220">
        <f t="shared" si="58"/>
        <v>74558.083333334</v>
      </c>
      <c r="J110" s="916">
        <v>21053.2266666667</v>
      </c>
      <c r="K110" s="916">
        <f t="shared" si="59"/>
        <v>26432.5666666667</v>
      </c>
      <c r="L110" s="916">
        <f t="shared" si="60"/>
        <v>5379.34000000002</v>
      </c>
      <c r="M110" s="916"/>
      <c r="N110" s="916"/>
      <c r="O110" s="916">
        <f t="shared" si="61"/>
        <v>0</v>
      </c>
      <c r="P110" s="916">
        <f t="shared" si="62"/>
        <v>317190.800000001</v>
      </c>
      <c r="Q110" s="916"/>
    </row>
    <row r="111" customHeight="1" spans="1:17">
      <c r="A111" s="4">
        <v>7</v>
      </c>
      <c r="B111" s="18" t="s">
        <v>251</v>
      </c>
      <c r="C111" s="4" t="s">
        <v>248</v>
      </c>
      <c r="D111" s="15" t="s">
        <v>105</v>
      </c>
      <c r="E111" s="220">
        <v>236804.083333333</v>
      </c>
      <c r="F111" s="909">
        <v>200549.416666667</v>
      </c>
      <c r="G111" s="220">
        <v>108371.25</v>
      </c>
      <c r="H111" s="911">
        <f t="shared" si="57"/>
        <v>308920.666666667</v>
      </c>
      <c r="I111" s="220">
        <f t="shared" si="58"/>
        <v>72116.583333334</v>
      </c>
      <c r="J111" s="916">
        <v>18450.5533333333</v>
      </c>
      <c r="K111" s="916">
        <f t="shared" si="59"/>
        <v>24713.6533333334</v>
      </c>
      <c r="L111" s="916">
        <f t="shared" si="60"/>
        <v>6263.10000000006</v>
      </c>
      <c r="M111" s="916"/>
      <c r="N111" s="916">
        <f t="shared" si="63"/>
        <v>5013.73541666668</v>
      </c>
      <c r="O111" s="916">
        <f t="shared" si="61"/>
        <v>5013.73541666668</v>
      </c>
      <c r="P111" s="916">
        <f t="shared" si="62"/>
        <v>296563.84</v>
      </c>
      <c r="Q111" s="916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64">SUM(E105:E111)</f>
        <v>3829676.66666667</v>
      </c>
      <c r="F112" s="918">
        <f t="shared" si="64"/>
        <v>2943988.66666666</v>
      </c>
      <c r="G112" s="223">
        <f t="shared" si="64"/>
        <v>1761473.5</v>
      </c>
      <c r="H112" s="223">
        <f t="shared" si="64"/>
        <v>4705462.16666666</v>
      </c>
      <c r="I112" s="223">
        <f t="shared" si="64"/>
        <v>875785.499999997</v>
      </c>
      <c r="J112" s="223">
        <f t="shared" si="64"/>
        <v>305971.893333333</v>
      </c>
      <c r="K112" s="223">
        <f t="shared" si="64"/>
        <v>376436.973333333</v>
      </c>
      <c r="L112" s="223">
        <f t="shared" si="64"/>
        <v>70465.0799999999</v>
      </c>
      <c r="M112" s="223">
        <f t="shared" si="64"/>
        <v>16248.0083333334</v>
      </c>
      <c r="N112" s="223">
        <f t="shared" si="64"/>
        <v>27323.74375</v>
      </c>
      <c r="O112" s="223">
        <f t="shared" si="64"/>
        <v>11075.7354166666</v>
      </c>
      <c r="P112" s="223">
        <f t="shared" si="64"/>
        <v>4517243.68</v>
      </c>
      <c r="Q112" s="223">
        <f t="shared" si="64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255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257</v>
      </c>
      <c r="C115" s="4" t="s">
        <v>258</v>
      </c>
      <c r="D115" s="15" t="s">
        <v>170</v>
      </c>
      <c r="E115" s="85">
        <v>390086.5</v>
      </c>
      <c r="F115" s="909">
        <v>302878.666666667</v>
      </c>
      <c r="G115" s="220">
        <v>179784</v>
      </c>
      <c r="H115" s="911">
        <f t="shared" ref="H115:H117" si="65">F115+G115</f>
        <v>482662.666666667</v>
      </c>
      <c r="I115" s="220">
        <f t="shared" ref="I115:I117" si="66">H115-E115</f>
        <v>92576.166666667</v>
      </c>
      <c r="J115" s="916">
        <v>30231.6133333333</v>
      </c>
      <c r="K115" s="916">
        <f t="shared" ref="K115:K117" si="67">H115*0.08</f>
        <v>38613.0133333334</v>
      </c>
      <c r="L115" s="916">
        <f t="shared" ref="L115:L117" si="68">K115-J115</f>
        <v>8381.40000000006</v>
      </c>
      <c r="M115" s="916"/>
      <c r="N115" s="916"/>
      <c r="O115" s="916">
        <f t="shared" ref="O115:O117" si="69">N115-M115</f>
        <v>0</v>
      </c>
      <c r="P115" s="916">
        <f t="shared" ref="P115:P117" si="70">12*K115</f>
        <v>463356.16</v>
      </c>
      <c r="Q115" s="916"/>
    </row>
    <row r="116" ht="18.75" customHeight="1" spans="1:17">
      <c r="A116" s="10">
        <v>2</v>
      </c>
      <c r="B116" s="11" t="s">
        <v>260</v>
      </c>
      <c r="C116" s="4" t="s">
        <v>71</v>
      </c>
      <c r="D116" s="15" t="s">
        <v>69</v>
      </c>
      <c r="E116" s="85">
        <v>377895.166666667</v>
      </c>
      <c r="F116" s="909">
        <v>294662.916666667</v>
      </c>
      <c r="G116" s="220">
        <v>174165.25</v>
      </c>
      <c r="H116" s="911">
        <f t="shared" si="65"/>
        <v>468828.166666667</v>
      </c>
      <c r="I116" s="220">
        <f t="shared" si="66"/>
        <v>90933</v>
      </c>
      <c r="J116" s="916">
        <v>30231.6133333333</v>
      </c>
      <c r="K116" s="916">
        <f t="shared" si="67"/>
        <v>37506.2533333334</v>
      </c>
      <c r="L116" s="916">
        <f t="shared" si="68"/>
        <v>7274.64000000006</v>
      </c>
      <c r="M116" s="916"/>
      <c r="N116" s="916"/>
      <c r="O116" s="916">
        <f t="shared" si="69"/>
        <v>0</v>
      </c>
      <c r="P116" s="916">
        <f t="shared" si="70"/>
        <v>450075.04</v>
      </c>
      <c r="Q116" s="916"/>
    </row>
    <row r="117" customHeight="1" spans="1:17">
      <c r="A117" s="10">
        <v>3</v>
      </c>
      <c r="B117" s="11" t="s">
        <v>190</v>
      </c>
      <c r="C117" s="12" t="s">
        <v>191</v>
      </c>
      <c r="D117" s="15" t="s">
        <v>66</v>
      </c>
      <c r="E117" s="85">
        <v>390248.916666667</v>
      </c>
      <c r="F117" s="909">
        <v>302987.416666667</v>
      </c>
      <c r="G117" s="220">
        <v>179859.166666667</v>
      </c>
      <c r="H117" s="911">
        <f t="shared" si="65"/>
        <v>482846.583333334</v>
      </c>
      <c r="I117" s="220">
        <f t="shared" si="66"/>
        <v>92597.666666667</v>
      </c>
      <c r="J117" s="916">
        <v>31219.91</v>
      </c>
      <c r="K117" s="916">
        <f t="shared" si="67"/>
        <v>38627.7266666667</v>
      </c>
      <c r="L117" s="916">
        <f t="shared" si="68"/>
        <v>7407.81666666672</v>
      </c>
      <c r="M117" s="916">
        <v>5967.30625</v>
      </c>
      <c r="N117" s="916">
        <f>0.025*F117</f>
        <v>7574.68541666667</v>
      </c>
      <c r="O117" s="916">
        <f t="shared" si="69"/>
        <v>1607.37916666667</v>
      </c>
      <c r="P117" s="916">
        <f t="shared" si="70"/>
        <v>463532.720000001</v>
      </c>
      <c r="Q117" s="916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71">SUM(E115:E117)</f>
        <v>1158230.58333333</v>
      </c>
      <c r="F118" s="912">
        <f t="shared" si="71"/>
        <v>900529.000000001</v>
      </c>
      <c r="G118" s="93">
        <f t="shared" si="71"/>
        <v>533808.416666667</v>
      </c>
      <c r="H118" s="93">
        <f t="shared" si="71"/>
        <v>1434337.41666667</v>
      </c>
      <c r="I118" s="93">
        <f t="shared" si="71"/>
        <v>276106.833333334</v>
      </c>
      <c r="J118" s="93">
        <f t="shared" si="71"/>
        <v>91683.1366666666</v>
      </c>
      <c r="K118" s="93">
        <f t="shared" si="71"/>
        <v>114746.993333333</v>
      </c>
      <c r="L118" s="93">
        <f t="shared" si="71"/>
        <v>23063.8566666668</v>
      </c>
      <c r="M118" s="93">
        <f t="shared" si="71"/>
        <v>5967.30625</v>
      </c>
      <c r="N118" s="93">
        <f t="shared" si="71"/>
        <v>7574.68541666667</v>
      </c>
      <c r="O118" s="93">
        <f t="shared" si="71"/>
        <v>1607.37916666667</v>
      </c>
      <c r="P118" s="93">
        <f t="shared" si="71"/>
        <v>1376963.92</v>
      </c>
      <c r="Q118" s="93">
        <f t="shared" si="71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267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09">
        <v>187994.416666667</v>
      </c>
      <c r="G121" s="220">
        <v>99896.5</v>
      </c>
      <c r="H121" s="911">
        <f t="shared" ref="H121:H135" si="72">F121+G121</f>
        <v>287890.916666667</v>
      </c>
      <c r="I121" s="220">
        <f t="shared" ref="I121:I135" si="73">H121-E121</f>
        <v>69603.333333334</v>
      </c>
      <c r="J121" s="916">
        <v>17463.0066666666</v>
      </c>
      <c r="K121" s="916">
        <f t="shared" ref="K121:K135" si="74">H121*0.08</f>
        <v>23031.2733333334</v>
      </c>
      <c r="L121" s="916">
        <f t="shared" ref="L121:L135" si="75">K121-J121</f>
        <v>5568.26666666676</v>
      </c>
      <c r="M121" s="916"/>
      <c r="N121" s="916"/>
      <c r="O121" s="916">
        <f t="shared" ref="O121:O135" si="76">N121-M121</f>
        <v>0</v>
      </c>
      <c r="P121" s="916">
        <f t="shared" ref="P121:P135" si="77">12*K121</f>
        <v>276375.28</v>
      </c>
      <c r="Q121" s="916"/>
    </row>
    <row r="122" ht="24.75" customHeight="1" spans="1:17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09">
        <v>187994.416666667</v>
      </c>
      <c r="G122" s="220">
        <v>99896.5</v>
      </c>
      <c r="H122" s="911">
        <f t="shared" si="72"/>
        <v>287890.916666667</v>
      </c>
      <c r="I122" s="220">
        <f t="shared" si="73"/>
        <v>69603.333333334</v>
      </c>
      <c r="J122" s="916">
        <v>17463.0066666666</v>
      </c>
      <c r="K122" s="916">
        <f t="shared" si="74"/>
        <v>23031.2733333334</v>
      </c>
      <c r="L122" s="916">
        <f t="shared" si="75"/>
        <v>5568.26666666676</v>
      </c>
      <c r="M122" s="916"/>
      <c r="N122" s="916"/>
      <c r="O122" s="916">
        <f t="shared" si="76"/>
        <v>0</v>
      </c>
      <c r="P122" s="916">
        <f t="shared" si="77"/>
        <v>276375.28</v>
      </c>
      <c r="Q122" s="916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78">SUM(E121:E122)</f>
        <v>436575.166666666</v>
      </c>
      <c r="F123" s="912">
        <f t="shared" si="78"/>
        <v>375988.833333334</v>
      </c>
      <c r="G123" s="93">
        <f t="shared" si="78"/>
        <v>199793</v>
      </c>
      <c r="H123" s="93">
        <f t="shared" si="78"/>
        <v>575781.833333334</v>
      </c>
      <c r="I123" s="93">
        <f t="shared" si="78"/>
        <v>139206.666666668</v>
      </c>
      <c r="J123" s="93">
        <f t="shared" si="78"/>
        <v>34926.0133333332</v>
      </c>
      <c r="K123" s="93">
        <f t="shared" si="78"/>
        <v>46062.5466666667</v>
      </c>
      <c r="L123" s="93">
        <f t="shared" si="78"/>
        <v>11136.5333333335</v>
      </c>
      <c r="M123" s="93">
        <f t="shared" si="78"/>
        <v>0</v>
      </c>
      <c r="N123" s="93">
        <f t="shared" si="78"/>
        <v>0</v>
      </c>
      <c r="O123" s="93">
        <f t="shared" si="78"/>
        <v>0</v>
      </c>
      <c r="P123" s="93">
        <f t="shared" si="78"/>
        <v>552750.560000001</v>
      </c>
      <c r="Q123" s="93">
        <f t="shared" si="78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279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09">
        <v>1086777.08333333</v>
      </c>
      <c r="G126" s="220">
        <v>660329.333333333</v>
      </c>
      <c r="H126" s="911">
        <f t="shared" si="72"/>
        <v>1747106.41666666</v>
      </c>
      <c r="I126" s="220">
        <f t="shared" si="73"/>
        <v>311386.416666663</v>
      </c>
      <c r="J126" s="916">
        <v>114857.6</v>
      </c>
      <c r="K126" s="916">
        <f t="shared" si="74"/>
        <v>139768.513333333</v>
      </c>
      <c r="L126" s="916">
        <f t="shared" si="75"/>
        <v>24910.913333333</v>
      </c>
      <c r="M126" s="916">
        <v>19384.7666666667</v>
      </c>
      <c r="N126" s="916">
        <f t="shared" ref="N126:N128" si="79">0.025*F126</f>
        <v>27169.4270833333</v>
      </c>
      <c r="O126" s="916">
        <f t="shared" si="76"/>
        <v>7784.66041666655</v>
      </c>
      <c r="P126" s="916">
        <f t="shared" si="77"/>
        <v>1677222.16</v>
      </c>
      <c r="Q126" s="916">
        <f t="shared" ref="Q126:Q135" si="80">N126*12</f>
        <v>326033.124999999</v>
      </c>
    </row>
    <row r="127" customHeight="1" spans="1:17">
      <c r="A127" s="4">
        <v>2</v>
      </c>
      <c r="B127" s="11" t="s">
        <v>282</v>
      </c>
      <c r="C127" s="12" t="s">
        <v>558</v>
      </c>
      <c r="D127" s="15" t="s">
        <v>35</v>
      </c>
      <c r="E127" s="85">
        <v>762373.166666667</v>
      </c>
      <c r="F127" s="909">
        <v>554669.5</v>
      </c>
      <c r="G127" s="220">
        <v>350637.25</v>
      </c>
      <c r="H127" s="911">
        <f t="shared" si="72"/>
        <v>905306.75</v>
      </c>
      <c r="I127" s="220">
        <f t="shared" si="73"/>
        <v>142933.583333333</v>
      </c>
      <c r="J127" s="916">
        <v>59136.2866666667</v>
      </c>
      <c r="K127" s="916">
        <f t="shared" si="74"/>
        <v>72424.54</v>
      </c>
      <c r="L127" s="916">
        <f t="shared" si="75"/>
        <v>13288.2533333333</v>
      </c>
      <c r="M127" s="916">
        <v>9980.56666666667</v>
      </c>
      <c r="N127" s="916">
        <f t="shared" si="79"/>
        <v>13866.7375</v>
      </c>
      <c r="O127" s="916">
        <f t="shared" si="76"/>
        <v>3886.17083333333</v>
      </c>
      <c r="P127" s="916">
        <f t="shared" si="77"/>
        <v>869094.48</v>
      </c>
      <c r="Q127" s="916">
        <f t="shared" si="80"/>
        <v>166400.85</v>
      </c>
    </row>
    <row r="128" customHeight="1" spans="1:17">
      <c r="A128" s="4">
        <v>3</v>
      </c>
      <c r="B128" s="14" t="s">
        <v>284</v>
      </c>
      <c r="C128" s="12" t="s">
        <v>559</v>
      </c>
      <c r="D128" s="15" t="s">
        <v>506</v>
      </c>
      <c r="E128" s="85">
        <v>716034</v>
      </c>
      <c r="F128" s="909">
        <v>523386.5</v>
      </c>
      <c r="G128" s="220">
        <v>329324.583333333</v>
      </c>
      <c r="H128" s="911">
        <f t="shared" si="72"/>
        <v>852711.083333333</v>
      </c>
      <c r="I128" s="220">
        <f t="shared" si="73"/>
        <v>136677.083333333</v>
      </c>
      <c r="J128" s="916">
        <v>59136.2866666667</v>
      </c>
      <c r="K128" s="916">
        <f t="shared" si="74"/>
        <v>68216.8866666666</v>
      </c>
      <c r="L128" s="916">
        <f t="shared" si="75"/>
        <v>9080.59999999994</v>
      </c>
      <c r="M128" s="916">
        <v>9980.56666666667</v>
      </c>
      <c r="N128" s="916">
        <f t="shared" si="79"/>
        <v>13084.6625</v>
      </c>
      <c r="O128" s="916">
        <f t="shared" si="76"/>
        <v>3104.09583333333</v>
      </c>
      <c r="P128" s="916">
        <f t="shared" si="77"/>
        <v>818602.64</v>
      </c>
      <c r="Q128" s="916">
        <f t="shared" si="80"/>
        <v>157015.95</v>
      </c>
    </row>
    <row r="129" customHeight="1" spans="1:17">
      <c r="A129" s="4">
        <v>4</v>
      </c>
      <c r="B129" s="11" t="s">
        <v>287</v>
      </c>
      <c r="C129" s="12" t="s">
        <v>289</v>
      </c>
      <c r="D129" s="15" t="s">
        <v>189</v>
      </c>
      <c r="E129" s="85">
        <v>484373.75</v>
      </c>
      <c r="F129" s="909">
        <v>366417.5</v>
      </c>
      <c r="G129" s="220">
        <v>223239.5</v>
      </c>
      <c r="H129" s="911">
        <f t="shared" si="72"/>
        <v>589657</v>
      </c>
      <c r="I129" s="220">
        <f t="shared" si="73"/>
        <v>105283.25</v>
      </c>
      <c r="J129" s="916">
        <v>37639.84</v>
      </c>
      <c r="K129" s="916">
        <f t="shared" si="74"/>
        <v>47172.56</v>
      </c>
      <c r="L129" s="916">
        <f t="shared" si="75"/>
        <v>9532.72</v>
      </c>
      <c r="M129" s="916">
        <v>0</v>
      </c>
      <c r="N129" s="916"/>
      <c r="O129" s="916">
        <f t="shared" si="76"/>
        <v>0</v>
      </c>
      <c r="P129" s="916">
        <f t="shared" si="77"/>
        <v>566070.72</v>
      </c>
      <c r="Q129" s="916">
        <f t="shared" si="80"/>
        <v>0</v>
      </c>
    </row>
    <row r="130" customHeight="1" spans="1:17">
      <c r="A130" s="4">
        <v>5</v>
      </c>
      <c r="B130" s="11" t="s">
        <v>288</v>
      </c>
      <c r="C130" s="12" t="s">
        <v>560</v>
      </c>
      <c r="D130" s="15" t="s">
        <v>212</v>
      </c>
      <c r="E130" s="85">
        <v>456622.25</v>
      </c>
      <c r="F130" s="909">
        <v>347715.916666667</v>
      </c>
      <c r="G130" s="220">
        <v>210449.333333333</v>
      </c>
      <c r="H130" s="911">
        <f t="shared" si="72"/>
        <v>558165.25</v>
      </c>
      <c r="I130" s="220">
        <f t="shared" si="73"/>
        <v>101543</v>
      </c>
      <c r="J130" s="916">
        <v>35419.72</v>
      </c>
      <c r="K130" s="916">
        <f t="shared" si="74"/>
        <v>44653.22</v>
      </c>
      <c r="L130" s="916">
        <f t="shared" si="75"/>
        <v>9233.5</v>
      </c>
      <c r="M130" s="916">
        <v>5967.30625</v>
      </c>
      <c r="N130" s="916">
        <f t="shared" ref="N130:N135" si="81">0.025*F130</f>
        <v>8692.89791666667</v>
      </c>
      <c r="O130" s="916">
        <f t="shared" si="76"/>
        <v>2725.59166666667</v>
      </c>
      <c r="P130" s="916">
        <f t="shared" si="77"/>
        <v>535838.64</v>
      </c>
      <c r="Q130" s="916">
        <f t="shared" si="80"/>
        <v>104314.775</v>
      </c>
    </row>
    <row r="131" customHeight="1" spans="1:17">
      <c r="A131" s="4">
        <v>6</v>
      </c>
      <c r="B131" s="11" t="s">
        <v>290</v>
      </c>
      <c r="C131" s="12" t="s">
        <v>289</v>
      </c>
      <c r="D131" s="15" t="s">
        <v>46</v>
      </c>
      <c r="E131" s="85">
        <v>470498</v>
      </c>
      <c r="F131" s="909">
        <v>357066.666666667</v>
      </c>
      <c r="G131" s="220">
        <v>216844.416666667</v>
      </c>
      <c r="H131" s="911">
        <f t="shared" si="72"/>
        <v>573911.083333334</v>
      </c>
      <c r="I131" s="220">
        <f t="shared" si="73"/>
        <v>103413.083333334</v>
      </c>
      <c r="J131" s="916">
        <v>36529.78</v>
      </c>
      <c r="K131" s="916">
        <f t="shared" si="74"/>
        <v>45912.8866666667</v>
      </c>
      <c r="L131" s="916">
        <f t="shared" si="75"/>
        <v>9383.10666666672</v>
      </c>
      <c r="M131" s="916">
        <v>6154.32291666667</v>
      </c>
      <c r="N131" s="916">
        <f t="shared" si="81"/>
        <v>8926.66666666668</v>
      </c>
      <c r="O131" s="916">
        <f t="shared" si="76"/>
        <v>2772.34375000001</v>
      </c>
      <c r="P131" s="916">
        <f t="shared" si="77"/>
        <v>550954.640000001</v>
      </c>
      <c r="Q131" s="916">
        <f t="shared" si="80"/>
        <v>107120</v>
      </c>
    </row>
    <row r="132" customHeight="1" spans="1:17">
      <c r="A132" s="4">
        <v>7</v>
      </c>
      <c r="B132" s="11" t="s">
        <v>293</v>
      </c>
      <c r="C132" s="12" t="s">
        <v>561</v>
      </c>
      <c r="D132" s="10" t="s">
        <v>85</v>
      </c>
      <c r="E132" s="85">
        <v>277798</v>
      </c>
      <c r="F132" s="909">
        <v>227615.75</v>
      </c>
      <c r="G132" s="220">
        <v>127704.916666667</v>
      </c>
      <c r="H132" s="911">
        <f t="shared" si="72"/>
        <v>355320.666666667</v>
      </c>
      <c r="I132" s="220">
        <f t="shared" si="73"/>
        <v>77522.666666667</v>
      </c>
      <c r="J132" s="916">
        <v>21638.5333333333</v>
      </c>
      <c r="K132" s="916">
        <f t="shared" si="74"/>
        <v>28425.6533333334</v>
      </c>
      <c r="L132" s="916">
        <f t="shared" si="75"/>
        <v>6787.12000000006</v>
      </c>
      <c r="M132" s="916"/>
      <c r="N132" s="916"/>
      <c r="O132" s="916">
        <f t="shared" si="76"/>
        <v>0</v>
      </c>
      <c r="P132" s="916">
        <f t="shared" si="77"/>
        <v>341107.84</v>
      </c>
      <c r="Q132" s="916">
        <f t="shared" si="80"/>
        <v>0</v>
      </c>
    </row>
    <row r="133" customHeight="1" spans="1:17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09">
        <v>196364.416666667</v>
      </c>
      <c r="G133" s="220">
        <v>105546.333333333</v>
      </c>
      <c r="H133" s="911">
        <f t="shared" si="72"/>
        <v>301910.75</v>
      </c>
      <c r="I133" s="220">
        <f t="shared" si="73"/>
        <v>71278.833333333</v>
      </c>
      <c r="J133" s="916">
        <v>17956.78</v>
      </c>
      <c r="K133" s="916">
        <f t="shared" si="74"/>
        <v>24152.86</v>
      </c>
      <c r="L133" s="916">
        <f t="shared" si="75"/>
        <v>6196.08</v>
      </c>
      <c r="M133" s="916">
        <v>0</v>
      </c>
      <c r="N133" s="916">
        <f t="shared" si="81"/>
        <v>4909.11041666668</v>
      </c>
      <c r="O133" s="916">
        <f t="shared" si="76"/>
        <v>4909.11041666668</v>
      </c>
      <c r="P133" s="916">
        <f t="shared" si="77"/>
        <v>289834.32</v>
      </c>
      <c r="Q133" s="916">
        <f t="shared" si="80"/>
        <v>58909.3250000001</v>
      </c>
    </row>
    <row r="134" customHeight="1" spans="1:17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09">
        <v>196364.416666667</v>
      </c>
      <c r="G134" s="220">
        <v>105546.333333333</v>
      </c>
      <c r="H134" s="911">
        <f t="shared" si="72"/>
        <v>301910.75</v>
      </c>
      <c r="I134" s="220">
        <f t="shared" si="73"/>
        <v>71278.833333333</v>
      </c>
      <c r="J134" s="916">
        <v>17956.78</v>
      </c>
      <c r="K134" s="916">
        <f t="shared" si="74"/>
        <v>24152.86</v>
      </c>
      <c r="L134" s="916">
        <f t="shared" si="75"/>
        <v>6196.08</v>
      </c>
      <c r="M134" s="916">
        <v>0</v>
      </c>
      <c r="N134" s="916">
        <f t="shared" si="81"/>
        <v>4909.11041666668</v>
      </c>
      <c r="O134" s="916">
        <f t="shared" si="76"/>
        <v>4909.11041666668</v>
      </c>
      <c r="P134" s="916">
        <f t="shared" si="77"/>
        <v>289834.32</v>
      </c>
      <c r="Q134" s="916">
        <f t="shared" si="80"/>
        <v>58909.3250000001</v>
      </c>
    </row>
    <row r="135" customHeight="1" spans="1:17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09">
        <v>192179.416666667</v>
      </c>
      <c r="G135" s="919">
        <v>102721.416666667</v>
      </c>
      <c r="H135" s="920">
        <f t="shared" si="72"/>
        <v>294900.833333334</v>
      </c>
      <c r="I135" s="919">
        <f t="shared" si="73"/>
        <v>70441.083333334</v>
      </c>
      <c r="J135" s="922">
        <v>17463.0066666666</v>
      </c>
      <c r="K135" s="916">
        <f t="shared" si="74"/>
        <v>23592.0666666667</v>
      </c>
      <c r="L135" s="916">
        <f t="shared" si="75"/>
        <v>6129.06000000012</v>
      </c>
      <c r="M135" s="916"/>
      <c r="N135" s="916">
        <f t="shared" si="81"/>
        <v>4804.48541666668</v>
      </c>
      <c r="O135" s="916">
        <f t="shared" si="76"/>
        <v>4804.48541666668</v>
      </c>
      <c r="P135" s="916">
        <f t="shared" si="77"/>
        <v>283104.800000001</v>
      </c>
      <c r="Q135" s="916">
        <f t="shared" si="80"/>
        <v>57653.8250000001</v>
      </c>
    </row>
    <row r="136" ht="28.5" customHeight="1" spans="1:17">
      <c r="A136" s="4"/>
      <c r="B136" s="20" t="s">
        <v>120</v>
      </c>
      <c r="C136" s="26" t="s">
        <v>562</v>
      </c>
      <c r="D136" s="15"/>
      <c r="E136" s="146">
        <f t="shared" ref="E136:Q136" si="82">SUM(E126:E135)</f>
        <v>5289142.75</v>
      </c>
      <c r="F136" s="913">
        <f t="shared" si="82"/>
        <v>4048557.16666667</v>
      </c>
      <c r="G136" s="221">
        <f t="shared" si="82"/>
        <v>2432343.41666667</v>
      </c>
      <c r="H136" s="221">
        <f t="shared" si="82"/>
        <v>6480900.58333333</v>
      </c>
      <c r="I136" s="221">
        <f t="shared" si="82"/>
        <v>1191757.83333333</v>
      </c>
      <c r="J136" s="221">
        <f t="shared" si="82"/>
        <v>417734.613333333</v>
      </c>
      <c r="K136" s="221">
        <f t="shared" si="82"/>
        <v>518472.046666667</v>
      </c>
      <c r="L136" s="221">
        <f t="shared" si="82"/>
        <v>100737.433333333</v>
      </c>
      <c r="M136" s="221">
        <f t="shared" si="82"/>
        <v>51467.5291666667</v>
      </c>
      <c r="N136" s="221">
        <f t="shared" si="82"/>
        <v>86363.0979166666</v>
      </c>
      <c r="O136" s="221">
        <f t="shared" si="82"/>
        <v>34895.5687499999</v>
      </c>
      <c r="P136" s="221">
        <f t="shared" si="82"/>
        <v>6221664.56</v>
      </c>
      <c r="Q136" s="221">
        <f t="shared" si="82"/>
        <v>1036357.175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300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301</v>
      </c>
      <c r="C139" s="4" t="s">
        <v>302</v>
      </c>
      <c r="D139" s="10" t="s">
        <v>508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 t="shared" ref="H139:H198" si="83">F139+G139</f>
        <v>1647612</v>
      </c>
      <c r="I139" s="220">
        <f t="shared" ref="I139:I198" si="84">H139-E139</f>
        <v>295569.33333333</v>
      </c>
      <c r="J139" s="916">
        <v>114857.6</v>
      </c>
      <c r="K139" s="916">
        <f t="shared" ref="K139:K198" si="85">H139*0.08</f>
        <v>131808.96</v>
      </c>
      <c r="L139" s="916">
        <f t="shared" ref="L139:L198" si="86">K139-J139</f>
        <v>16951.3599999998</v>
      </c>
      <c r="M139" s="916">
        <v>18254.975</v>
      </c>
      <c r="N139" s="916">
        <f t="shared" ref="N139:N143" si="87">0.025*F139</f>
        <v>25644.2083333333</v>
      </c>
      <c r="O139" s="916">
        <f t="shared" ref="O139:O198" si="88">N139-M139</f>
        <v>7389.23333333325</v>
      </c>
      <c r="P139" s="916">
        <f t="shared" ref="P139:P198" si="89">12*K139</f>
        <v>1581707.52</v>
      </c>
      <c r="Q139" s="916">
        <f t="shared" ref="Q139:Q198" si="90">N139*12</f>
        <v>307730.499999999</v>
      </c>
    </row>
    <row r="140" customHeight="1" spans="1:17">
      <c r="A140" s="27">
        <v>2</v>
      </c>
      <c r="B140" s="14" t="s">
        <v>304</v>
      </c>
      <c r="C140" s="4" t="s">
        <v>305</v>
      </c>
      <c r="D140" s="16" t="s">
        <v>35</v>
      </c>
      <c r="E140" s="85">
        <v>762373.166666667</v>
      </c>
      <c r="F140" s="909">
        <v>554669.5</v>
      </c>
      <c r="G140" s="220">
        <v>350637.25</v>
      </c>
      <c r="H140" s="220">
        <f t="shared" si="83"/>
        <v>905306.75</v>
      </c>
      <c r="I140" s="220">
        <f t="shared" si="84"/>
        <v>142933.583333333</v>
      </c>
      <c r="J140" s="916">
        <v>60989.8533333333</v>
      </c>
      <c r="K140" s="916">
        <f t="shared" si="85"/>
        <v>72424.54</v>
      </c>
      <c r="L140" s="916">
        <f t="shared" si="86"/>
        <v>11434.6866666667</v>
      </c>
      <c r="M140" s="916">
        <v>10293.3979166667</v>
      </c>
      <c r="N140" s="916">
        <f t="shared" si="87"/>
        <v>13866.7375</v>
      </c>
      <c r="O140" s="916">
        <f t="shared" si="88"/>
        <v>3573.3395833333</v>
      </c>
      <c r="P140" s="916">
        <f t="shared" si="89"/>
        <v>869094.48</v>
      </c>
      <c r="Q140" s="916">
        <f t="shared" si="90"/>
        <v>166400.85</v>
      </c>
    </row>
    <row r="141" customHeight="1" spans="1:17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220">
        <v>267732.833333333</v>
      </c>
      <c r="H141" s="220">
        <f t="shared" si="83"/>
        <v>700713.916666666</v>
      </c>
      <c r="I141" s="220">
        <f t="shared" si="84"/>
        <v>118595.833333333</v>
      </c>
      <c r="J141" s="916">
        <v>46569.45</v>
      </c>
      <c r="K141" s="916">
        <f t="shared" si="85"/>
        <v>56057.1133333333</v>
      </c>
      <c r="L141" s="916">
        <f t="shared" si="86"/>
        <v>9487.66333333329</v>
      </c>
      <c r="M141" s="916">
        <v>8380.22708333333</v>
      </c>
      <c r="N141" s="916">
        <f t="shared" si="87"/>
        <v>10824.5270833333</v>
      </c>
      <c r="O141" s="916">
        <f t="shared" si="88"/>
        <v>2444.3</v>
      </c>
      <c r="P141" s="916">
        <f t="shared" si="89"/>
        <v>672685.359999999</v>
      </c>
      <c r="Q141" s="916">
        <f t="shared" si="90"/>
        <v>129894.325</v>
      </c>
    </row>
    <row r="142" customHeight="1" spans="1:17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220">
        <v>267732.833333333</v>
      </c>
      <c r="H142" s="220">
        <f t="shared" si="83"/>
        <v>700713.916666666</v>
      </c>
      <c r="I142" s="220">
        <f t="shared" si="84"/>
        <v>118594.833333333</v>
      </c>
      <c r="J142" s="916">
        <v>46569.45</v>
      </c>
      <c r="K142" s="916">
        <f t="shared" si="85"/>
        <v>56057.1133333333</v>
      </c>
      <c r="L142" s="916">
        <f t="shared" si="86"/>
        <v>9487.66333333329</v>
      </c>
      <c r="M142" s="916">
        <v>8381.22708333333</v>
      </c>
      <c r="N142" s="916">
        <f t="shared" si="87"/>
        <v>10824.5270833333</v>
      </c>
      <c r="O142" s="916">
        <f t="shared" si="88"/>
        <v>2443.3</v>
      </c>
      <c r="P142" s="916">
        <f t="shared" si="89"/>
        <v>672685.359999999</v>
      </c>
      <c r="Q142" s="916">
        <f t="shared" si="90"/>
        <v>129894.325</v>
      </c>
    </row>
    <row r="143" customHeight="1" spans="1:17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220">
        <v>267732.833333333</v>
      </c>
      <c r="H143" s="220">
        <f t="shared" si="83"/>
        <v>700713.916666666</v>
      </c>
      <c r="I143" s="220">
        <f t="shared" si="84"/>
        <v>118593.833333333</v>
      </c>
      <c r="J143" s="916">
        <v>46569.45</v>
      </c>
      <c r="K143" s="916">
        <f t="shared" si="85"/>
        <v>56057.1133333333</v>
      </c>
      <c r="L143" s="916">
        <f t="shared" si="86"/>
        <v>9487.66333333329</v>
      </c>
      <c r="M143" s="916">
        <v>8382.22708333333</v>
      </c>
      <c r="N143" s="916">
        <f t="shared" si="87"/>
        <v>10824.5270833333</v>
      </c>
      <c r="O143" s="916">
        <f t="shared" si="88"/>
        <v>2442.3</v>
      </c>
      <c r="P143" s="916">
        <f t="shared" si="89"/>
        <v>672685.359999999</v>
      </c>
      <c r="Q143" s="916">
        <f t="shared" si="90"/>
        <v>129894.325</v>
      </c>
    </row>
    <row r="144" customHeight="1" spans="1:17">
      <c r="A144" s="27">
        <v>6</v>
      </c>
      <c r="B144" s="11" t="s">
        <v>313</v>
      </c>
      <c r="C144" s="12" t="s">
        <v>230</v>
      </c>
      <c r="D144" s="15" t="s">
        <v>66</v>
      </c>
      <c r="E144" s="85">
        <v>390248.916666667</v>
      </c>
      <c r="F144" s="909">
        <v>302987.416666667</v>
      </c>
      <c r="G144" s="220">
        <v>179859.166666667</v>
      </c>
      <c r="H144" s="220">
        <f t="shared" si="83"/>
        <v>482846.583333334</v>
      </c>
      <c r="I144" s="220">
        <f t="shared" si="84"/>
        <v>92597.666666667</v>
      </c>
      <c r="J144" s="916">
        <v>31219.91</v>
      </c>
      <c r="K144" s="916">
        <f t="shared" si="85"/>
        <v>38627.7266666667</v>
      </c>
      <c r="L144" s="916">
        <f t="shared" si="86"/>
        <v>7407.81666666672</v>
      </c>
      <c r="M144" s="916">
        <v>0</v>
      </c>
      <c r="N144" s="916"/>
      <c r="O144" s="916">
        <f t="shared" si="88"/>
        <v>0</v>
      </c>
      <c r="P144" s="916">
        <f t="shared" si="89"/>
        <v>463532.720000001</v>
      </c>
      <c r="Q144" s="916">
        <f t="shared" si="90"/>
        <v>0</v>
      </c>
    </row>
    <row r="145" customHeight="1" spans="1:17">
      <c r="A145" s="27">
        <v>7</v>
      </c>
      <c r="B145" s="11" t="s">
        <v>314</v>
      </c>
      <c r="C145" s="4" t="s">
        <v>563</v>
      </c>
      <c r="D145" s="15" t="s">
        <v>66</v>
      </c>
      <c r="E145" s="85">
        <v>390248.916666667</v>
      </c>
      <c r="F145" s="909">
        <v>302987.416666667</v>
      </c>
      <c r="G145" s="220">
        <v>179859.166666667</v>
      </c>
      <c r="H145" s="220">
        <f t="shared" si="83"/>
        <v>482846.583333334</v>
      </c>
      <c r="I145" s="220">
        <f t="shared" si="84"/>
        <v>92597.666666667</v>
      </c>
      <c r="J145" s="916">
        <v>31219.91</v>
      </c>
      <c r="K145" s="916">
        <f t="shared" si="85"/>
        <v>38627.7266666667</v>
      </c>
      <c r="L145" s="916">
        <f t="shared" si="86"/>
        <v>7407.81666666672</v>
      </c>
      <c r="M145" s="916">
        <v>0</v>
      </c>
      <c r="N145" s="916"/>
      <c r="O145" s="916">
        <f t="shared" si="88"/>
        <v>0</v>
      </c>
      <c r="P145" s="916">
        <f t="shared" si="89"/>
        <v>463532.720000001</v>
      </c>
      <c r="Q145" s="916">
        <f t="shared" si="90"/>
        <v>0</v>
      </c>
    </row>
    <row r="146" customHeight="1" spans="1:17">
      <c r="A146" s="27">
        <v>8</v>
      </c>
      <c r="B146" s="11" t="s">
        <v>316</v>
      </c>
      <c r="C146" s="12" t="s">
        <v>564</v>
      </c>
      <c r="D146" s="15" t="s">
        <v>170</v>
      </c>
      <c r="E146" s="85">
        <v>390086.5</v>
      </c>
      <c r="F146" s="909">
        <v>302878.666666667</v>
      </c>
      <c r="G146" s="220">
        <v>179784</v>
      </c>
      <c r="H146" s="220">
        <f t="shared" si="83"/>
        <v>482662.666666667</v>
      </c>
      <c r="I146" s="220">
        <f t="shared" si="84"/>
        <v>92576.166666667</v>
      </c>
      <c r="J146" s="916">
        <v>30231.6133333333</v>
      </c>
      <c r="K146" s="916">
        <f t="shared" si="85"/>
        <v>38613.0133333334</v>
      </c>
      <c r="L146" s="916">
        <f t="shared" si="86"/>
        <v>8381.40000000006</v>
      </c>
      <c r="M146" s="916">
        <v>0</v>
      </c>
      <c r="N146" s="916"/>
      <c r="O146" s="916">
        <f t="shared" si="88"/>
        <v>0</v>
      </c>
      <c r="P146" s="916">
        <f t="shared" si="89"/>
        <v>463356.16</v>
      </c>
      <c r="Q146" s="916">
        <f t="shared" si="90"/>
        <v>0</v>
      </c>
    </row>
    <row r="147" customHeight="1" spans="1:17">
      <c r="A147" s="27">
        <v>9</v>
      </c>
      <c r="B147" s="11" t="s">
        <v>318</v>
      </c>
      <c r="C147" s="12" t="s">
        <v>319</v>
      </c>
      <c r="D147" s="15" t="s">
        <v>69</v>
      </c>
      <c r="E147" s="85">
        <v>377895.166666667</v>
      </c>
      <c r="F147" s="909">
        <v>294662.916666667</v>
      </c>
      <c r="G147" s="220">
        <v>174165.25</v>
      </c>
      <c r="H147" s="220">
        <f t="shared" si="83"/>
        <v>468828.166666667</v>
      </c>
      <c r="I147" s="220">
        <f t="shared" si="84"/>
        <v>90933</v>
      </c>
      <c r="J147" s="916">
        <v>29256.3066666667</v>
      </c>
      <c r="K147" s="916">
        <f t="shared" si="85"/>
        <v>37506.2533333334</v>
      </c>
      <c r="L147" s="916">
        <f t="shared" si="86"/>
        <v>8249.94666666666</v>
      </c>
      <c r="M147" s="916">
        <v>4928.93333333333</v>
      </c>
      <c r="N147" s="916">
        <f t="shared" ref="N147:N150" si="91">0.025*F147</f>
        <v>7366.57291666668</v>
      </c>
      <c r="O147" s="916">
        <f t="shared" si="88"/>
        <v>2437.63958333335</v>
      </c>
      <c r="P147" s="916">
        <f t="shared" si="89"/>
        <v>450075.04</v>
      </c>
      <c r="Q147" s="916">
        <f t="shared" si="90"/>
        <v>88398.8750000001</v>
      </c>
    </row>
    <row r="148" customHeight="1" spans="1:17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09">
        <v>286447.083333333</v>
      </c>
      <c r="G148" s="220">
        <v>168546.5</v>
      </c>
      <c r="H148" s="220">
        <f t="shared" si="83"/>
        <v>454993.583333333</v>
      </c>
      <c r="I148" s="220">
        <f t="shared" si="84"/>
        <v>89289.75</v>
      </c>
      <c r="J148" s="916">
        <v>28281</v>
      </c>
      <c r="K148" s="916">
        <f t="shared" si="85"/>
        <v>36399.4866666666</v>
      </c>
      <c r="L148" s="916">
        <f t="shared" si="86"/>
        <v>8118.48666666664</v>
      </c>
      <c r="M148" s="916">
        <v>0</v>
      </c>
      <c r="N148" s="916">
        <f t="shared" si="91"/>
        <v>7161.17708333333</v>
      </c>
      <c r="O148" s="916">
        <f t="shared" si="88"/>
        <v>7161.17708333333</v>
      </c>
      <c r="P148" s="916">
        <f t="shared" si="89"/>
        <v>436793.84</v>
      </c>
      <c r="Q148" s="916">
        <f t="shared" si="90"/>
        <v>85934.1249999999</v>
      </c>
    </row>
    <row r="149" customHeight="1" spans="1:17">
      <c r="A149" s="27">
        <v>11</v>
      </c>
      <c r="B149" s="11" t="s">
        <v>322</v>
      </c>
      <c r="C149" s="4" t="s">
        <v>321</v>
      </c>
      <c r="D149" s="15" t="s">
        <v>504</v>
      </c>
      <c r="E149" s="220">
        <v>353512.5</v>
      </c>
      <c r="F149" s="909">
        <v>278231.25</v>
      </c>
      <c r="G149" s="220">
        <v>162927.75</v>
      </c>
      <c r="H149" s="220">
        <f t="shared" si="83"/>
        <v>441159</v>
      </c>
      <c r="I149" s="220">
        <f t="shared" si="84"/>
        <v>87646.5</v>
      </c>
      <c r="J149" s="916">
        <v>28281</v>
      </c>
      <c r="K149" s="916">
        <f t="shared" si="85"/>
        <v>35292.72</v>
      </c>
      <c r="L149" s="916">
        <f t="shared" si="86"/>
        <v>7011.72</v>
      </c>
      <c r="M149" s="916">
        <v>0</v>
      </c>
      <c r="N149" s="916"/>
      <c r="O149" s="916">
        <f t="shared" si="88"/>
        <v>0</v>
      </c>
      <c r="P149" s="916">
        <f t="shared" si="89"/>
        <v>423512.64</v>
      </c>
      <c r="Q149" s="916">
        <f t="shared" si="90"/>
        <v>0</v>
      </c>
    </row>
    <row r="150" customHeight="1" spans="1:17">
      <c r="A150" s="27">
        <v>12</v>
      </c>
      <c r="B150" s="11" t="s">
        <v>323</v>
      </c>
      <c r="C150" s="4" t="s">
        <v>321</v>
      </c>
      <c r="D150" s="15" t="s">
        <v>504</v>
      </c>
      <c r="E150" s="220">
        <v>353512.5</v>
      </c>
      <c r="F150" s="909">
        <v>278231.25</v>
      </c>
      <c r="G150" s="220">
        <v>162927.75</v>
      </c>
      <c r="H150" s="220">
        <f t="shared" si="83"/>
        <v>441159</v>
      </c>
      <c r="I150" s="220">
        <f t="shared" si="84"/>
        <v>87646.5</v>
      </c>
      <c r="J150" s="916">
        <v>28281</v>
      </c>
      <c r="K150" s="916">
        <f t="shared" si="85"/>
        <v>35292.72</v>
      </c>
      <c r="L150" s="916">
        <f t="shared" si="86"/>
        <v>7011.72</v>
      </c>
      <c r="M150" s="916">
        <v>4928.93333333333</v>
      </c>
      <c r="N150" s="916">
        <f t="shared" si="91"/>
        <v>6955.78125</v>
      </c>
      <c r="O150" s="916">
        <f t="shared" si="88"/>
        <v>2026.84791666667</v>
      </c>
      <c r="P150" s="916">
        <f t="shared" si="89"/>
        <v>423512.64</v>
      </c>
      <c r="Q150" s="916">
        <f t="shared" si="90"/>
        <v>83469.375</v>
      </c>
    </row>
    <row r="151" customHeight="1" spans="1:17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09">
        <v>286447.083333333</v>
      </c>
      <c r="G151" s="220">
        <v>168546.5</v>
      </c>
      <c r="H151" s="220">
        <f t="shared" si="83"/>
        <v>454993.583333333</v>
      </c>
      <c r="I151" s="220">
        <f t="shared" si="84"/>
        <v>89289.75</v>
      </c>
      <c r="J151" s="916">
        <v>28281</v>
      </c>
      <c r="K151" s="916">
        <f t="shared" si="85"/>
        <v>36399.4866666666</v>
      </c>
      <c r="L151" s="916">
        <f t="shared" si="86"/>
        <v>8118.48666666664</v>
      </c>
      <c r="M151" s="916">
        <v>0</v>
      </c>
      <c r="N151" s="916"/>
      <c r="O151" s="916">
        <f t="shared" si="88"/>
        <v>0</v>
      </c>
      <c r="P151" s="916">
        <f t="shared" si="89"/>
        <v>436793.84</v>
      </c>
      <c r="Q151" s="916">
        <f t="shared" si="90"/>
        <v>0</v>
      </c>
    </row>
    <row r="152" customHeight="1" spans="1:17">
      <c r="A152" s="27">
        <v>14</v>
      </c>
      <c r="B152" s="11" t="s">
        <v>326</v>
      </c>
      <c r="C152" s="12" t="s">
        <v>327</v>
      </c>
      <c r="D152" s="15" t="s">
        <v>77</v>
      </c>
      <c r="E152" s="220">
        <v>308901.5</v>
      </c>
      <c r="F152" s="909">
        <v>246171.166666667</v>
      </c>
      <c r="G152" s="220">
        <v>143964.666666667</v>
      </c>
      <c r="H152" s="220">
        <f t="shared" si="83"/>
        <v>390135.833333334</v>
      </c>
      <c r="I152" s="220">
        <f t="shared" si="84"/>
        <v>81234.333333334</v>
      </c>
      <c r="J152" s="916">
        <v>24077.2466666667</v>
      </c>
      <c r="K152" s="916">
        <f t="shared" si="85"/>
        <v>31210.8666666667</v>
      </c>
      <c r="L152" s="916">
        <f t="shared" si="86"/>
        <v>7133.62000000002</v>
      </c>
      <c r="M152" s="916">
        <v>0</v>
      </c>
      <c r="N152" s="916">
        <f t="shared" ref="N152:N156" si="92">0.025*F152</f>
        <v>6154.27916666668</v>
      </c>
      <c r="O152" s="916">
        <f t="shared" si="88"/>
        <v>6154.27916666668</v>
      </c>
      <c r="P152" s="916">
        <f t="shared" si="89"/>
        <v>374530.400000001</v>
      </c>
      <c r="Q152" s="916">
        <f t="shared" si="90"/>
        <v>73851.3500000001</v>
      </c>
    </row>
    <row r="153" customHeight="1" spans="1:17">
      <c r="A153" s="27">
        <v>15</v>
      </c>
      <c r="B153" s="11" t="s">
        <v>328</v>
      </c>
      <c r="C153" s="12" t="s">
        <v>329</v>
      </c>
      <c r="D153" s="10" t="s">
        <v>88</v>
      </c>
      <c r="E153" s="85">
        <v>270481.666666667</v>
      </c>
      <c r="F153" s="909">
        <v>222674.583333333</v>
      </c>
      <c r="G153" s="220">
        <v>124341.583333333</v>
      </c>
      <c r="H153" s="220">
        <f t="shared" si="83"/>
        <v>347016.166666666</v>
      </c>
      <c r="I153" s="220">
        <f t="shared" si="84"/>
        <v>76534.499999999</v>
      </c>
      <c r="J153" s="916">
        <v>21053.2266666667</v>
      </c>
      <c r="K153" s="916">
        <f t="shared" si="85"/>
        <v>27761.2933333333</v>
      </c>
      <c r="L153" s="916">
        <f t="shared" si="86"/>
        <v>6708.06666666658</v>
      </c>
      <c r="M153" s="916">
        <v>0</v>
      </c>
      <c r="N153" s="916">
        <f t="shared" si="92"/>
        <v>5566.86458333332</v>
      </c>
      <c r="O153" s="916">
        <f t="shared" si="88"/>
        <v>5566.86458333332</v>
      </c>
      <c r="P153" s="916">
        <f t="shared" si="89"/>
        <v>333135.519999999</v>
      </c>
      <c r="Q153" s="916">
        <f t="shared" si="90"/>
        <v>66802.3749999999</v>
      </c>
    </row>
    <row r="154" customHeight="1" spans="1:17">
      <c r="A154" s="27">
        <v>16</v>
      </c>
      <c r="B154" s="11" t="s">
        <v>330</v>
      </c>
      <c r="C154" s="12" t="s">
        <v>565</v>
      </c>
      <c r="D154" s="15" t="s">
        <v>151</v>
      </c>
      <c r="E154" s="220">
        <v>316837.416666667</v>
      </c>
      <c r="F154" s="909">
        <v>251467.916666667</v>
      </c>
      <c r="G154" s="220">
        <v>147663.25</v>
      </c>
      <c r="H154" s="220">
        <f t="shared" si="83"/>
        <v>399131.166666667</v>
      </c>
      <c r="I154" s="220">
        <f t="shared" si="84"/>
        <v>82293.75</v>
      </c>
      <c r="J154" s="916">
        <v>24712.12</v>
      </c>
      <c r="K154" s="916">
        <f t="shared" si="85"/>
        <v>31930.4933333334</v>
      </c>
      <c r="L154" s="916">
        <f t="shared" si="86"/>
        <v>7218.37333333336</v>
      </c>
      <c r="M154" s="916">
        <v>0</v>
      </c>
      <c r="N154" s="916"/>
      <c r="O154" s="916">
        <f t="shared" si="88"/>
        <v>0</v>
      </c>
      <c r="P154" s="916">
        <f t="shared" si="89"/>
        <v>383165.92</v>
      </c>
      <c r="Q154" s="916">
        <f t="shared" si="90"/>
        <v>0</v>
      </c>
    </row>
    <row r="155" customHeight="1" spans="1:17">
      <c r="A155" s="27">
        <v>17</v>
      </c>
      <c r="B155" s="11" t="s">
        <v>332</v>
      </c>
      <c r="C155" s="12" t="s">
        <v>566</v>
      </c>
      <c r="D155" s="15" t="s">
        <v>85</v>
      </c>
      <c r="E155" s="220">
        <v>277798</v>
      </c>
      <c r="F155" s="909">
        <v>227615.75</v>
      </c>
      <c r="G155" s="220">
        <v>127704.916666667</v>
      </c>
      <c r="H155" s="220">
        <f t="shared" si="83"/>
        <v>355320.666666667</v>
      </c>
      <c r="I155" s="220">
        <f t="shared" si="84"/>
        <v>77522.666666667</v>
      </c>
      <c r="J155" s="916">
        <v>21638.5333333333</v>
      </c>
      <c r="K155" s="916">
        <f t="shared" si="85"/>
        <v>28425.6533333334</v>
      </c>
      <c r="L155" s="916">
        <f t="shared" si="86"/>
        <v>6787.12000000006</v>
      </c>
      <c r="M155" s="916">
        <v>0</v>
      </c>
      <c r="N155" s="916">
        <f t="shared" si="92"/>
        <v>5690.39375</v>
      </c>
      <c r="O155" s="916">
        <f t="shared" si="88"/>
        <v>5690.39375</v>
      </c>
      <c r="P155" s="916">
        <f t="shared" si="89"/>
        <v>341107.84</v>
      </c>
      <c r="Q155" s="916">
        <f t="shared" si="90"/>
        <v>68284.725</v>
      </c>
    </row>
    <row r="156" customHeight="1" spans="1:17">
      <c r="A156" s="27">
        <v>18</v>
      </c>
      <c r="B156" s="11" t="s">
        <v>334</v>
      </c>
      <c r="C156" s="12" t="s">
        <v>567</v>
      </c>
      <c r="D156" s="15" t="s">
        <v>151</v>
      </c>
      <c r="E156" s="220">
        <v>316837.416666667</v>
      </c>
      <c r="F156" s="909">
        <v>251467.916666667</v>
      </c>
      <c r="G156" s="220">
        <v>147663.25</v>
      </c>
      <c r="H156" s="220">
        <f t="shared" si="83"/>
        <v>399131.166666667</v>
      </c>
      <c r="I156" s="220">
        <f t="shared" si="84"/>
        <v>82293.75</v>
      </c>
      <c r="J156" s="916">
        <v>24712.12</v>
      </c>
      <c r="K156" s="916">
        <f t="shared" si="85"/>
        <v>31930.4933333334</v>
      </c>
      <c r="L156" s="916">
        <f t="shared" si="86"/>
        <v>7218.37333333336</v>
      </c>
      <c r="M156" s="916">
        <v>4123.42083333333</v>
      </c>
      <c r="N156" s="916">
        <f t="shared" si="92"/>
        <v>6286.69791666668</v>
      </c>
      <c r="O156" s="916">
        <f t="shared" si="88"/>
        <v>2163.27708333335</v>
      </c>
      <c r="P156" s="916">
        <f t="shared" si="89"/>
        <v>383165.92</v>
      </c>
      <c r="Q156" s="916">
        <f t="shared" si="90"/>
        <v>75440.3750000001</v>
      </c>
    </row>
    <row r="157" customHeight="1" spans="1:17">
      <c r="A157" s="27">
        <v>19</v>
      </c>
      <c r="B157" s="11" t="s">
        <v>335</v>
      </c>
      <c r="C157" s="12" t="s">
        <v>568</v>
      </c>
      <c r="D157" s="15" t="s">
        <v>85</v>
      </c>
      <c r="E157" s="220">
        <v>277798</v>
      </c>
      <c r="F157" s="909">
        <v>227615.75</v>
      </c>
      <c r="G157" s="220">
        <v>127704.916666667</v>
      </c>
      <c r="H157" s="220">
        <f t="shared" si="83"/>
        <v>355320.666666667</v>
      </c>
      <c r="I157" s="220">
        <f t="shared" si="84"/>
        <v>77522.666666667</v>
      </c>
      <c r="J157" s="916">
        <v>21638.5333333333</v>
      </c>
      <c r="K157" s="916">
        <f t="shared" si="85"/>
        <v>28425.6533333334</v>
      </c>
      <c r="L157" s="916">
        <f t="shared" si="86"/>
        <v>6787.12000000006</v>
      </c>
      <c r="M157" s="916">
        <v>0</v>
      </c>
      <c r="N157" s="916"/>
      <c r="O157" s="916">
        <f t="shared" si="88"/>
        <v>0</v>
      </c>
      <c r="P157" s="916">
        <f t="shared" si="89"/>
        <v>341107.84</v>
      </c>
      <c r="Q157" s="916">
        <f t="shared" si="90"/>
        <v>0</v>
      </c>
    </row>
    <row r="158" customHeight="1" spans="1:17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09">
        <v>217733.416666667</v>
      </c>
      <c r="G158" s="220">
        <v>120978.25</v>
      </c>
      <c r="H158" s="220">
        <f t="shared" si="83"/>
        <v>338711.666666667</v>
      </c>
      <c r="I158" s="220">
        <f t="shared" si="84"/>
        <v>75546.333333334</v>
      </c>
      <c r="J158" s="916">
        <v>20467.92</v>
      </c>
      <c r="K158" s="916">
        <f t="shared" si="85"/>
        <v>27096.9333333334</v>
      </c>
      <c r="L158" s="916">
        <f t="shared" si="86"/>
        <v>6629.01333333336</v>
      </c>
      <c r="M158" s="916">
        <v>0</v>
      </c>
      <c r="N158" s="916">
        <f t="shared" ref="N158:N164" si="93">0.025*F158</f>
        <v>5443.33541666668</v>
      </c>
      <c r="O158" s="916">
        <f t="shared" si="88"/>
        <v>5443.33541666668</v>
      </c>
      <c r="P158" s="916">
        <f t="shared" si="89"/>
        <v>325163.2</v>
      </c>
      <c r="Q158" s="916">
        <f t="shared" si="90"/>
        <v>65320.0250000001</v>
      </c>
    </row>
    <row r="159" customHeight="1" spans="1:17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09">
        <v>217733.416666667</v>
      </c>
      <c r="G159" s="220">
        <v>120978.25</v>
      </c>
      <c r="H159" s="220">
        <f t="shared" si="83"/>
        <v>338711.666666667</v>
      </c>
      <c r="I159" s="220">
        <f t="shared" si="84"/>
        <v>75546.333333334</v>
      </c>
      <c r="J159" s="916">
        <v>20467.92</v>
      </c>
      <c r="K159" s="916">
        <f t="shared" si="85"/>
        <v>27096.9333333334</v>
      </c>
      <c r="L159" s="916">
        <f t="shared" si="86"/>
        <v>6629.01333333336</v>
      </c>
      <c r="M159" s="916">
        <v>0</v>
      </c>
      <c r="N159" s="916"/>
      <c r="O159" s="916">
        <f t="shared" si="88"/>
        <v>0</v>
      </c>
      <c r="P159" s="916">
        <f t="shared" si="89"/>
        <v>325163.2</v>
      </c>
      <c r="Q159" s="916">
        <f t="shared" si="90"/>
        <v>0</v>
      </c>
    </row>
    <row r="160" customHeight="1" spans="1:17">
      <c r="A160" s="27">
        <v>22</v>
      </c>
      <c r="B160" s="18" t="s">
        <v>345</v>
      </c>
      <c r="C160" s="12" t="s">
        <v>346</v>
      </c>
      <c r="D160" s="15" t="s">
        <v>108</v>
      </c>
      <c r="E160" s="85">
        <v>230631.916666667</v>
      </c>
      <c r="F160" s="909">
        <v>196364.416666667</v>
      </c>
      <c r="G160" s="220">
        <v>105546.333333333</v>
      </c>
      <c r="H160" s="220">
        <f t="shared" si="83"/>
        <v>301910.75</v>
      </c>
      <c r="I160" s="220">
        <f t="shared" si="84"/>
        <v>71278.833333333</v>
      </c>
      <c r="J160" s="916">
        <v>17956.78</v>
      </c>
      <c r="K160" s="916">
        <f t="shared" si="85"/>
        <v>24152.86</v>
      </c>
      <c r="L160" s="916">
        <f t="shared" si="86"/>
        <v>6196.08</v>
      </c>
      <c r="M160" s="916">
        <v>0</v>
      </c>
      <c r="N160" s="916"/>
      <c r="O160" s="916">
        <f t="shared" si="88"/>
        <v>0</v>
      </c>
      <c r="P160" s="916">
        <f t="shared" si="89"/>
        <v>289834.32</v>
      </c>
      <c r="Q160" s="916">
        <f t="shared" si="90"/>
        <v>0</v>
      </c>
    </row>
    <row r="161" customHeight="1" spans="1:17">
      <c r="A161" s="27">
        <v>23</v>
      </c>
      <c r="B161" s="18" t="s">
        <v>347</v>
      </c>
      <c r="C161" s="12" t="s">
        <v>348</v>
      </c>
      <c r="D161" s="15" t="s">
        <v>108</v>
      </c>
      <c r="E161" s="85">
        <v>230631.916666667</v>
      </c>
      <c r="F161" s="909">
        <v>196364.416666667</v>
      </c>
      <c r="G161" s="220">
        <v>105546.333333333</v>
      </c>
      <c r="H161" s="220">
        <f t="shared" si="83"/>
        <v>301910.75</v>
      </c>
      <c r="I161" s="220">
        <f t="shared" si="84"/>
        <v>71278.833333333</v>
      </c>
      <c r="J161" s="916">
        <v>17956.78</v>
      </c>
      <c r="K161" s="916">
        <f t="shared" si="85"/>
        <v>24152.86</v>
      </c>
      <c r="L161" s="916">
        <f t="shared" si="86"/>
        <v>6196.08</v>
      </c>
      <c r="M161" s="916">
        <v>0</v>
      </c>
      <c r="N161" s="916">
        <f t="shared" si="93"/>
        <v>4909.11041666668</v>
      </c>
      <c r="O161" s="916">
        <f t="shared" si="88"/>
        <v>4909.11041666668</v>
      </c>
      <c r="P161" s="916">
        <f t="shared" si="89"/>
        <v>289834.32</v>
      </c>
      <c r="Q161" s="916">
        <f t="shared" si="90"/>
        <v>58909.3250000001</v>
      </c>
    </row>
    <row r="162" customHeight="1" spans="1:17">
      <c r="A162" s="27">
        <v>24</v>
      </c>
      <c r="B162" s="18" t="s">
        <v>349</v>
      </c>
      <c r="C162" s="12" t="s">
        <v>350</v>
      </c>
      <c r="D162" s="15" t="s">
        <v>108</v>
      </c>
      <c r="E162" s="85">
        <v>230631.916666667</v>
      </c>
      <c r="F162" s="909">
        <v>196364.416666667</v>
      </c>
      <c r="G162" s="220">
        <v>105546.333333333</v>
      </c>
      <c r="H162" s="220">
        <f t="shared" si="83"/>
        <v>301910.75</v>
      </c>
      <c r="I162" s="220">
        <f t="shared" si="84"/>
        <v>71278.833333333</v>
      </c>
      <c r="J162" s="916">
        <v>17956.78</v>
      </c>
      <c r="K162" s="916">
        <f t="shared" si="85"/>
        <v>24152.86</v>
      </c>
      <c r="L162" s="916">
        <f t="shared" si="86"/>
        <v>6196.08</v>
      </c>
      <c r="M162" s="916">
        <v>0</v>
      </c>
      <c r="N162" s="916">
        <f t="shared" si="93"/>
        <v>4909.11041666668</v>
      </c>
      <c r="O162" s="916">
        <f t="shared" si="88"/>
        <v>4909.11041666668</v>
      </c>
      <c r="P162" s="916">
        <f t="shared" si="89"/>
        <v>289834.32</v>
      </c>
      <c r="Q162" s="916">
        <f t="shared" si="90"/>
        <v>58909.3250000001</v>
      </c>
    </row>
    <row r="163" customHeight="1" spans="1:17">
      <c r="A163" s="27">
        <v>25</v>
      </c>
      <c r="B163" s="18" t="s">
        <v>351</v>
      </c>
      <c r="C163" s="12" t="s">
        <v>569</v>
      </c>
      <c r="D163" s="15" t="s">
        <v>105</v>
      </c>
      <c r="E163" s="85">
        <v>236804.083333333</v>
      </c>
      <c r="F163" s="909">
        <v>200549.416666667</v>
      </c>
      <c r="G163" s="220">
        <v>108371.25</v>
      </c>
      <c r="H163" s="220">
        <f t="shared" si="83"/>
        <v>308920.666666667</v>
      </c>
      <c r="I163" s="220">
        <f t="shared" si="84"/>
        <v>72116.583333334</v>
      </c>
      <c r="J163" s="916">
        <v>18450.5533333333</v>
      </c>
      <c r="K163" s="916">
        <f t="shared" si="85"/>
        <v>24713.6533333334</v>
      </c>
      <c r="L163" s="916">
        <f t="shared" si="86"/>
        <v>6263.10000000006</v>
      </c>
      <c r="M163" s="916">
        <v>0</v>
      </c>
      <c r="N163" s="916">
        <f t="shared" si="93"/>
        <v>5013.73541666668</v>
      </c>
      <c r="O163" s="916">
        <f t="shared" si="88"/>
        <v>5013.73541666668</v>
      </c>
      <c r="P163" s="916">
        <f t="shared" si="89"/>
        <v>296563.84</v>
      </c>
      <c r="Q163" s="916">
        <f t="shared" si="90"/>
        <v>60164.8250000001</v>
      </c>
    </row>
    <row r="164" customHeight="1" spans="1:17">
      <c r="A164" s="27">
        <v>26</v>
      </c>
      <c r="B164" s="18" t="s">
        <v>352</v>
      </c>
      <c r="C164" s="12" t="s">
        <v>348</v>
      </c>
      <c r="D164" s="15" t="s">
        <v>108</v>
      </c>
      <c r="E164" s="85">
        <v>230631.916666667</v>
      </c>
      <c r="F164" s="909">
        <v>196364.416666667</v>
      </c>
      <c r="G164" s="220">
        <v>105546.333333333</v>
      </c>
      <c r="H164" s="220">
        <f t="shared" si="83"/>
        <v>301910.75</v>
      </c>
      <c r="I164" s="220">
        <f t="shared" si="84"/>
        <v>71278.833333333</v>
      </c>
      <c r="J164" s="916">
        <v>17956.78</v>
      </c>
      <c r="K164" s="916">
        <f t="shared" si="85"/>
        <v>24152.86</v>
      </c>
      <c r="L164" s="916">
        <f t="shared" si="86"/>
        <v>6196.08</v>
      </c>
      <c r="M164" s="916">
        <v>0</v>
      </c>
      <c r="N164" s="916">
        <f t="shared" si="93"/>
        <v>4909.11041666668</v>
      </c>
      <c r="O164" s="916">
        <f t="shared" si="88"/>
        <v>4909.11041666668</v>
      </c>
      <c r="P164" s="916">
        <f t="shared" si="89"/>
        <v>289834.32</v>
      </c>
      <c r="Q164" s="916">
        <f t="shared" si="90"/>
        <v>58909.3250000001</v>
      </c>
    </row>
    <row r="165" customHeight="1" spans="1:17">
      <c r="A165" s="27">
        <v>27</v>
      </c>
      <c r="B165" s="18" t="s">
        <v>353</v>
      </c>
      <c r="C165" s="12" t="s">
        <v>354</v>
      </c>
      <c r="D165" s="15" t="s">
        <v>111</v>
      </c>
      <c r="E165" s="676">
        <v>224459.75</v>
      </c>
      <c r="F165" s="909">
        <v>192179.416666667</v>
      </c>
      <c r="G165" s="220">
        <v>102721.416666667</v>
      </c>
      <c r="H165" s="220">
        <f t="shared" si="83"/>
        <v>294900.833333334</v>
      </c>
      <c r="I165" s="220">
        <f t="shared" si="84"/>
        <v>70441.083333334</v>
      </c>
      <c r="J165" s="916">
        <v>17463.0066666666</v>
      </c>
      <c r="K165" s="916">
        <f t="shared" si="85"/>
        <v>23592.0666666667</v>
      </c>
      <c r="L165" s="916">
        <f t="shared" si="86"/>
        <v>6129.06000000012</v>
      </c>
      <c r="M165" s="916"/>
      <c r="N165" s="916"/>
      <c r="O165" s="916">
        <f t="shared" si="88"/>
        <v>0</v>
      </c>
      <c r="P165" s="916">
        <f t="shared" si="89"/>
        <v>283104.800000001</v>
      </c>
      <c r="Q165" s="916">
        <f t="shared" si="90"/>
        <v>0</v>
      </c>
    </row>
    <row r="166" customHeight="1" spans="1:17">
      <c r="A166" s="27">
        <v>28</v>
      </c>
      <c r="B166" s="18" t="s">
        <v>355</v>
      </c>
      <c r="C166" s="12" t="s">
        <v>354</v>
      </c>
      <c r="D166" s="15" t="s">
        <v>111</v>
      </c>
      <c r="E166" s="676">
        <v>224459.75</v>
      </c>
      <c r="F166" s="909">
        <v>192179.416666667</v>
      </c>
      <c r="G166" s="220">
        <v>102721.416666667</v>
      </c>
      <c r="H166" s="220">
        <f t="shared" si="83"/>
        <v>294900.833333334</v>
      </c>
      <c r="I166" s="220">
        <f t="shared" si="84"/>
        <v>70441.083333334</v>
      </c>
      <c r="J166" s="916">
        <v>17463.0066666666</v>
      </c>
      <c r="K166" s="916">
        <f t="shared" si="85"/>
        <v>23592.0666666667</v>
      </c>
      <c r="L166" s="916">
        <f t="shared" si="86"/>
        <v>6129.06000000012</v>
      </c>
      <c r="M166" s="916"/>
      <c r="N166" s="916"/>
      <c r="O166" s="916">
        <f t="shared" si="88"/>
        <v>0</v>
      </c>
      <c r="P166" s="916">
        <f t="shared" si="89"/>
        <v>283104.800000001</v>
      </c>
      <c r="Q166" s="916">
        <f t="shared" si="90"/>
        <v>0</v>
      </c>
    </row>
    <row r="167" customHeight="1" spans="1:17">
      <c r="A167" s="27">
        <v>29</v>
      </c>
      <c r="B167" s="11" t="s">
        <v>361</v>
      </c>
      <c r="C167" s="12" t="s">
        <v>362</v>
      </c>
      <c r="D167" s="15" t="s">
        <v>375</v>
      </c>
      <c r="E167" s="226">
        <v>173859.5</v>
      </c>
      <c r="F167" s="921">
        <v>159288.583333333</v>
      </c>
      <c r="G167" s="220">
        <v>78428.5833333333</v>
      </c>
      <c r="H167" s="220">
        <f t="shared" si="83"/>
        <v>237717.166666666</v>
      </c>
      <c r="I167" s="220">
        <f t="shared" si="84"/>
        <v>63857.6666666663</v>
      </c>
      <c r="J167" s="916">
        <v>13487.8533333333</v>
      </c>
      <c r="K167" s="916">
        <f t="shared" si="85"/>
        <v>19017.3733333333</v>
      </c>
      <c r="L167" s="916">
        <f t="shared" si="86"/>
        <v>5529.52</v>
      </c>
      <c r="M167" s="916">
        <v>2313.575</v>
      </c>
      <c r="N167" s="916">
        <f>0.025*F167</f>
        <v>3982.21458333333</v>
      </c>
      <c r="O167" s="916">
        <f t="shared" si="88"/>
        <v>1668.63958333333</v>
      </c>
      <c r="P167" s="916">
        <f t="shared" si="89"/>
        <v>228208.48</v>
      </c>
      <c r="Q167" s="916">
        <f t="shared" si="90"/>
        <v>47786.5749999999</v>
      </c>
    </row>
    <row r="168" customHeight="1" spans="1:17">
      <c r="A168" s="27">
        <v>30</v>
      </c>
      <c r="B168" s="11" t="s">
        <v>364</v>
      </c>
      <c r="C168" s="12" t="s">
        <v>362</v>
      </c>
      <c r="D168" s="15" t="s">
        <v>375</v>
      </c>
      <c r="E168" s="226">
        <v>173859.5</v>
      </c>
      <c r="F168" s="921">
        <v>159288.583333333</v>
      </c>
      <c r="G168" s="220">
        <v>78428.5833333333</v>
      </c>
      <c r="H168" s="220">
        <f t="shared" si="83"/>
        <v>237717.166666666</v>
      </c>
      <c r="I168" s="220">
        <f t="shared" si="84"/>
        <v>63857.6666666663</v>
      </c>
      <c r="J168" s="916">
        <v>13487.8533333333</v>
      </c>
      <c r="K168" s="916">
        <f t="shared" si="85"/>
        <v>19017.3733333333</v>
      </c>
      <c r="L168" s="916">
        <f t="shared" si="86"/>
        <v>5529.52</v>
      </c>
      <c r="M168" s="916">
        <v>0</v>
      </c>
      <c r="N168" s="916"/>
      <c r="O168" s="916">
        <f t="shared" si="88"/>
        <v>0</v>
      </c>
      <c r="P168" s="916">
        <f t="shared" si="89"/>
        <v>228208.48</v>
      </c>
      <c r="Q168" s="916">
        <f t="shared" si="90"/>
        <v>0</v>
      </c>
    </row>
    <row r="169" customHeight="1" spans="1:17">
      <c r="A169" s="27">
        <v>31</v>
      </c>
      <c r="B169" s="11" t="s">
        <v>570</v>
      </c>
      <c r="C169" s="12" t="s">
        <v>362</v>
      </c>
      <c r="D169" s="15" t="s">
        <v>375</v>
      </c>
      <c r="E169" s="226">
        <v>173859.5</v>
      </c>
      <c r="F169" s="921">
        <v>159288.583333333</v>
      </c>
      <c r="G169" s="220">
        <v>78428.5833333333</v>
      </c>
      <c r="H169" s="220">
        <f t="shared" si="83"/>
        <v>237717.166666666</v>
      </c>
      <c r="I169" s="220">
        <f t="shared" si="84"/>
        <v>63857.6666666663</v>
      </c>
      <c r="J169" s="916">
        <v>13487.8533333333</v>
      </c>
      <c r="K169" s="916">
        <f t="shared" si="85"/>
        <v>19017.3733333333</v>
      </c>
      <c r="L169" s="916">
        <f t="shared" si="86"/>
        <v>5529.52</v>
      </c>
      <c r="M169" s="916">
        <v>0</v>
      </c>
      <c r="N169" s="916"/>
      <c r="O169" s="916">
        <f t="shared" si="88"/>
        <v>0</v>
      </c>
      <c r="P169" s="916">
        <f t="shared" si="89"/>
        <v>228208.48</v>
      </c>
      <c r="Q169" s="916">
        <f t="shared" si="90"/>
        <v>0</v>
      </c>
    </row>
    <row r="170" customHeight="1" spans="1:17">
      <c r="A170" s="27">
        <v>32</v>
      </c>
      <c r="B170" s="11" t="s">
        <v>365</v>
      </c>
      <c r="C170" s="12" t="s">
        <v>362</v>
      </c>
      <c r="D170" s="15" t="s">
        <v>375</v>
      </c>
      <c r="E170" s="226">
        <v>173859.5</v>
      </c>
      <c r="F170" s="921">
        <v>159288.583333333</v>
      </c>
      <c r="G170" s="220">
        <v>78428.5833333333</v>
      </c>
      <c r="H170" s="220">
        <f t="shared" si="83"/>
        <v>237717.166666666</v>
      </c>
      <c r="I170" s="220">
        <f t="shared" si="84"/>
        <v>63857.6666666663</v>
      </c>
      <c r="J170" s="916">
        <v>13487.8533333333</v>
      </c>
      <c r="K170" s="916">
        <f t="shared" si="85"/>
        <v>19017.3733333333</v>
      </c>
      <c r="L170" s="916">
        <f t="shared" si="86"/>
        <v>5529.52</v>
      </c>
      <c r="M170" s="916">
        <v>2313.575</v>
      </c>
      <c r="N170" s="916">
        <v>3982.21458333333</v>
      </c>
      <c r="O170" s="916">
        <f t="shared" si="88"/>
        <v>1668.63958333333</v>
      </c>
      <c r="P170" s="916">
        <f t="shared" si="89"/>
        <v>228208.48</v>
      </c>
      <c r="Q170" s="916">
        <f t="shared" si="90"/>
        <v>47786.575</v>
      </c>
    </row>
    <row r="171" customHeight="1" spans="1:17">
      <c r="A171" s="27">
        <v>33</v>
      </c>
      <c r="B171" s="11" t="s">
        <v>366</v>
      </c>
      <c r="C171" s="12" t="s">
        <v>362</v>
      </c>
      <c r="D171" s="15" t="s">
        <v>375</v>
      </c>
      <c r="E171" s="226">
        <v>173859.5</v>
      </c>
      <c r="F171" s="921">
        <v>159288.583333333</v>
      </c>
      <c r="G171" s="220">
        <v>78428.5833333333</v>
      </c>
      <c r="H171" s="220">
        <f t="shared" si="83"/>
        <v>237717.166666666</v>
      </c>
      <c r="I171" s="220">
        <f t="shared" si="84"/>
        <v>63857.6666666663</v>
      </c>
      <c r="J171" s="916">
        <v>13487.8533333333</v>
      </c>
      <c r="K171" s="916">
        <f t="shared" si="85"/>
        <v>19017.3733333333</v>
      </c>
      <c r="L171" s="916">
        <f t="shared" si="86"/>
        <v>5529.52</v>
      </c>
      <c r="M171" s="916"/>
      <c r="N171" s="916"/>
      <c r="O171" s="916">
        <f t="shared" si="88"/>
        <v>0</v>
      </c>
      <c r="P171" s="916">
        <f t="shared" si="89"/>
        <v>228208.48</v>
      </c>
      <c r="Q171" s="916">
        <f t="shared" si="90"/>
        <v>0</v>
      </c>
    </row>
    <row r="172" customHeight="1" spans="1:17">
      <c r="A172" s="27">
        <v>34</v>
      </c>
      <c r="B172" s="11" t="s">
        <v>367</v>
      </c>
      <c r="C172" s="12" t="s">
        <v>362</v>
      </c>
      <c r="D172" s="15" t="s">
        <v>388</v>
      </c>
      <c r="E172" s="226">
        <v>168598.166666667</v>
      </c>
      <c r="F172" s="921">
        <v>155678.666666667</v>
      </c>
      <c r="G172" s="220">
        <v>76055.1666666667</v>
      </c>
      <c r="H172" s="220">
        <f t="shared" si="83"/>
        <v>231733.833333334</v>
      </c>
      <c r="I172" s="220">
        <f t="shared" si="84"/>
        <v>63135.6666666667</v>
      </c>
      <c r="J172" s="916">
        <v>13066.9466666667</v>
      </c>
      <c r="K172" s="916">
        <f t="shared" si="85"/>
        <v>18538.7066666667</v>
      </c>
      <c r="L172" s="916">
        <f t="shared" si="86"/>
        <v>5471.76</v>
      </c>
      <c r="M172" s="916"/>
      <c r="N172" s="916"/>
      <c r="O172" s="916">
        <f t="shared" si="88"/>
        <v>0</v>
      </c>
      <c r="P172" s="916">
        <f t="shared" si="89"/>
        <v>222464.48</v>
      </c>
      <c r="Q172" s="916">
        <f t="shared" si="90"/>
        <v>0</v>
      </c>
    </row>
    <row r="173" customHeight="1" spans="1:17">
      <c r="A173" s="27">
        <v>35</v>
      </c>
      <c r="B173" s="11" t="s">
        <v>369</v>
      </c>
      <c r="C173" s="12" t="s">
        <v>362</v>
      </c>
      <c r="D173" s="15" t="s">
        <v>388</v>
      </c>
      <c r="E173" s="226">
        <v>168598.166666667</v>
      </c>
      <c r="F173" s="921">
        <v>155678.666666667</v>
      </c>
      <c r="G173" s="220">
        <v>76055.1666666667</v>
      </c>
      <c r="H173" s="220">
        <f t="shared" si="83"/>
        <v>231733.833333334</v>
      </c>
      <c r="I173" s="220">
        <f t="shared" si="84"/>
        <v>63135.6666666667</v>
      </c>
      <c r="J173" s="916">
        <v>13066.9466666667</v>
      </c>
      <c r="K173" s="916">
        <f t="shared" si="85"/>
        <v>18538.7066666667</v>
      </c>
      <c r="L173" s="916">
        <f t="shared" si="86"/>
        <v>5471.76</v>
      </c>
      <c r="M173" s="916"/>
      <c r="N173" s="916"/>
      <c r="O173" s="916">
        <f t="shared" si="88"/>
        <v>0</v>
      </c>
      <c r="P173" s="916">
        <f t="shared" si="89"/>
        <v>222464.48</v>
      </c>
      <c r="Q173" s="916">
        <f t="shared" si="90"/>
        <v>0</v>
      </c>
    </row>
    <row r="174" customHeight="1" spans="1:17">
      <c r="A174" s="27">
        <v>36</v>
      </c>
      <c r="B174" s="14" t="s">
        <v>370</v>
      </c>
      <c r="C174" s="12" t="s">
        <v>362</v>
      </c>
      <c r="D174" s="15" t="s">
        <v>388</v>
      </c>
      <c r="E174" s="226">
        <v>168598.166666667</v>
      </c>
      <c r="F174" s="921">
        <v>155678.666666667</v>
      </c>
      <c r="G174" s="220">
        <v>76055.1666666667</v>
      </c>
      <c r="H174" s="220">
        <f t="shared" si="83"/>
        <v>231733.833333334</v>
      </c>
      <c r="I174" s="220">
        <f t="shared" si="84"/>
        <v>63135.6666666667</v>
      </c>
      <c r="J174" s="916">
        <v>13066.9466666667</v>
      </c>
      <c r="K174" s="916">
        <f t="shared" si="85"/>
        <v>18538.7066666667</v>
      </c>
      <c r="L174" s="916">
        <f t="shared" si="86"/>
        <v>5471.76</v>
      </c>
      <c r="M174" s="916"/>
      <c r="N174" s="916"/>
      <c r="O174" s="916">
        <f t="shared" si="88"/>
        <v>0</v>
      </c>
      <c r="P174" s="916">
        <f t="shared" si="89"/>
        <v>222464.48</v>
      </c>
      <c r="Q174" s="916">
        <f t="shared" si="90"/>
        <v>0</v>
      </c>
    </row>
    <row r="175" customHeight="1" spans="1:17">
      <c r="A175" s="27">
        <v>37</v>
      </c>
      <c r="B175" s="11" t="s">
        <v>371</v>
      </c>
      <c r="C175" s="12" t="s">
        <v>362</v>
      </c>
      <c r="D175" s="15" t="s">
        <v>388</v>
      </c>
      <c r="E175" s="226">
        <v>168598.166666667</v>
      </c>
      <c r="F175" s="921">
        <v>155678.666666667</v>
      </c>
      <c r="G175" s="220">
        <v>76055.1666666667</v>
      </c>
      <c r="H175" s="220">
        <f t="shared" si="83"/>
        <v>231733.833333334</v>
      </c>
      <c r="I175" s="220">
        <f t="shared" si="84"/>
        <v>63135.6666666667</v>
      </c>
      <c r="J175" s="916">
        <v>13066.9466666667</v>
      </c>
      <c r="K175" s="916">
        <f t="shared" si="85"/>
        <v>18538.7066666667</v>
      </c>
      <c r="L175" s="916">
        <f t="shared" si="86"/>
        <v>5471.76</v>
      </c>
      <c r="M175" s="916"/>
      <c r="N175" s="916"/>
      <c r="O175" s="916">
        <f t="shared" si="88"/>
        <v>0</v>
      </c>
      <c r="P175" s="916">
        <f t="shared" si="89"/>
        <v>222464.48</v>
      </c>
      <c r="Q175" s="916">
        <f t="shared" si="90"/>
        <v>0</v>
      </c>
    </row>
    <row r="176" customHeight="1" spans="1:17">
      <c r="A176" s="27">
        <v>38</v>
      </c>
      <c r="B176" s="18" t="s">
        <v>372</v>
      </c>
      <c r="C176" s="12" t="s">
        <v>362</v>
      </c>
      <c r="D176" s="15" t="s">
        <v>388</v>
      </c>
      <c r="E176" s="226">
        <v>168598.166666667</v>
      </c>
      <c r="F176" s="921">
        <v>155678.666666667</v>
      </c>
      <c r="G176" s="220">
        <v>76055.1666666667</v>
      </c>
      <c r="H176" s="220">
        <f t="shared" si="83"/>
        <v>231733.833333334</v>
      </c>
      <c r="I176" s="220">
        <f t="shared" si="84"/>
        <v>63135.6666666667</v>
      </c>
      <c r="J176" s="916">
        <v>13066.9466666667</v>
      </c>
      <c r="K176" s="916">
        <f t="shared" si="85"/>
        <v>18538.7066666667</v>
      </c>
      <c r="L176" s="916">
        <f t="shared" si="86"/>
        <v>5471.76</v>
      </c>
      <c r="M176" s="916"/>
      <c r="N176" s="916"/>
      <c r="O176" s="916">
        <f t="shared" si="88"/>
        <v>0</v>
      </c>
      <c r="P176" s="916">
        <f t="shared" si="89"/>
        <v>222464.48</v>
      </c>
      <c r="Q176" s="916">
        <f t="shared" si="90"/>
        <v>0</v>
      </c>
    </row>
    <row r="177" customHeight="1" spans="1:17">
      <c r="A177" s="27">
        <v>39</v>
      </c>
      <c r="B177" s="18" t="s">
        <v>359</v>
      </c>
      <c r="C177" s="12" t="s">
        <v>362</v>
      </c>
      <c r="D177" s="15" t="s">
        <v>388</v>
      </c>
      <c r="E177" s="226">
        <v>168598.166666667</v>
      </c>
      <c r="F177" s="921">
        <v>155678.666666667</v>
      </c>
      <c r="G177" s="220">
        <v>76055.1666666667</v>
      </c>
      <c r="H177" s="220">
        <f t="shared" si="83"/>
        <v>231733.833333334</v>
      </c>
      <c r="I177" s="220">
        <f t="shared" si="84"/>
        <v>63135.6666666667</v>
      </c>
      <c r="J177" s="916">
        <v>13066.9466666667</v>
      </c>
      <c r="K177" s="916">
        <f t="shared" si="85"/>
        <v>18538.7066666667</v>
      </c>
      <c r="L177" s="916">
        <f t="shared" si="86"/>
        <v>5471.76</v>
      </c>
      <c r="M177" s="916"/>
      <c r="N177" s="916"/>
      <c r="O177" s="916">
        <f t="shared" si="88"/>
        <v>0</v>
      </c>
      <c r="P177" s="916">
        <f t="shared" si="89"/>
        <v>222464.48</v>
      </c>
      <c r="Q177" s="916">
        <f t="shared" si="90"/>
        <v>0</v>
      </c>
    </row>
    <row r="178" customHeight="1" spans="1:17">
      <c r="A178" s="27">
        <v>40</v>
      </c>
      <c r="B178" s="11" t="s">
        <v>373</v>
      </c>
      <c r="C178" s="12" t="s">
        <v>374</v>
      </c>
      <c r="D178" s="15" t="s">
        <v>510</v>
      </c>
      <c r="E178" s="85">
        <v>158075.5</v>
      </c>
      <c r="F178" s="921">
        <v>148459</v>
      </c>
      <c r="G178" s="220">
        <v>71308.3333333333</v>
      </c>
      <c r="H178" s="220">
        <f t="shared" si="83"/>
        <v>219767.333333333</v>
      </c>
      <c r="I178" s="220">
        <f t="shared" si="84"/>
        <v>61691.8333333333</v>
      </c>
      <c r="J178" s="916">
        <v>12225.1333333333</v>
      </c>
      <c r="K178" s="916">
        <f t="shared" si="85"/>
        <v>17581.3866666667</v>
      </c>
      <c r="L178" s="916">
        <f t="shared" si="86"/>
        <v>5356.25333333336</v>
      </c>
      <c r="M178" s="916"/>
      <c r="N178" s="916"/>
      <c r="O178" s="916">
        <f t="shared" si="88"/>
        <v>0</v>
      </c>
      <c r="P178" s="916">
        <f t="shared" si="89"/>
        <v>210976.64</v>
      </c>
      <c r="Q178" s="916">
        <f t="shared" si="90"/>
        <v>0</v>
      </c>
    </row>
    <row r="179" customHeight="1" spans="1:17">
      <c r="A179" s="27">
        <v>41</v>
      </c>
      <c r="B179" s="11" t="s">
        <v>376</v>
      </c>
      <c r="C179" s="12" t="s">
        <v>374</v>
      </c>
      <c r="D179" s="15" t="s">
        <v>510</v>
      </c>
      <c r="E179" s="85">
        <v>158075.5</v>
      </c>
      <c r="F179" s="921">
        <v>148459</v>
      </c>
      <c r="G179" s="220">
        <v>71308.3333333333</v>
      </c>
      <c r="H179" s="220">
        <f t="shared" si="83"/>
        <v>219767.333333333</v>
      </c>
      <c r="I179" s="220">
        <f t="shared" si="84"/>
        <v>61691.8333333333</v>
      </c>
      <c r="J179" s="916">
        <v>12225.1333333333</v>
      </c>
      <c r="K179" s="916">
        <f t="shared" si="85"/>
        <v>17581.3866666667</v>
      </c>
      <c r="L179" s="916">
        <f t="shared" si="86"/>
        <v>5356.25333333336</v>
      </c>
      <c r="M179" s="916"/>
      <c r="N179" s="916"/>
      <c r="O179" s="916">
        <f t="shared" si="88"/>
        <v>0</v>
      </c>
      <c r="P179" s="916">
        <f t="shared" si="89"/>
        <v>210976.64</v>
      </c>
      <c r="Q179" s="916">
        <f t="shared" si="90"/>
        <v>0</v>
      </c>
    </row>
    <row r="180" customHeight="1" spans="1:17">
      <c r="A180" s="27">
        <v>42</v>
      </c>
      <c r="B180" s="18" t="s">
        <v>377</v>
      </c>
      <c r="C180" s="12" t="s">
        <v>374</v>
      </c>
      <c r="D180" s="15" t="s">
        <v>381</v>
      </c>
      <c r="E180" s="85">
        <v>163336.833333333</v>
      </c>
      <c r="F180" s="921">
        <v>152068.833333333</v>
      </c>
      <c r="G180" s="220">
        <v>73681.75</v>
      </c>
      <c r="H180" s="220">
        <f t="shared" si="83"/>
        <v>225750.583333333</v>
      </c>
      <c r="I180" s="220">
        <f t="shared" si="84"/>
        <v>62413.75</v>
      </c>
      <c r="J180" s="916">
        <v>12646.04</v>
      </c>
      <c r="K180" s="916">
        <f t="shared" si="85"/>
        <v>18060.0466666666</v>
      </c>
      <c r="L180" s="916">
        <f t="shared" si="86"/>
        <v>5414.00666666664</v>
      </c>
      <c r="M180" s="916"/>
      <c r="N180" s="916"/>
      <c r="O180" s="916">
        <f t="shared" si="88"/>
        <v>0</v>
      </c>
      <c r="P180" s="916">
        <f t="shared" si="89"/>
        <v>216720.56</v>
      </c>
      <c r="Q180" s="916">
        <f t="shared" si="90"/>
        <v>0</v>
      </c>
    </row>
    <row r="181" customHeight="1" spans="1:17">
      <c r="A181" s="27">
        <v>43</v>
      </c>
      <c r="B181" s="11" t="s">
        <v>379</v>
      </c>
      <c r="C181" s="12" t="s">
        <v>393</v>
      </c>
      <c r="D181" s="15" t="s">
        <v>511</v>
      </c>
      <c r="E181" s="85">
        <v>152814.166666667</v>
      </c>
      <c r="F181" s="921">
        <v>144849.083333333</v>
      </c>
      <c r="G181" s="220">
        <v>68934.9166666667</v>
      </c>
      <c r="H181" s="220">
        <f t="shared" si="83"/>
        <v>213784</v>
      </c>
      <c r="I181" s="220">
        <f t="shared" si="84"/>
        <v>60969.8333333327</v>
      </c>
      <c r="J181" s="916">
        <v>12225.1333333333</v>
      </c>
      <c r="K181" s="916">
        <f t="shared" si="85"/>
        <v>17102.72</v>
      </c>
      <c r="L181" s="916">
        <f t="shared" si="86"/>
        <v>4877.58666666668</v>
      </c>
      <c r="M181" s="916"/>
      <c r="N181" s="916"/>
      <c r="O181" s="916">
        <f t="shared" si="88"/>
        <v>0</v>
      </c>
      <c r="P181" s="916">
        <f t="shared" si="89"/>
        <v>205232.64</v>
      </c>
      <c r="Q181" s="916">
        <f t="shared" si="90"/>
        <v>0</v>
      </c>
    </row>
    <row r="182" customHeight="1" spans="1:17">
      <c r="A182" s="27">
        <v>44</v>
      </c>
      <c r="B182" s="11" t="s">
        <v>382</v>
      </c>
      <c r="C182" s="12" t="s">
        <v>390</v>
      </c>
      <c r="D182" s="15" t="s">
        <v>571</v>
      </c>
      <c r="E182" s="85">
        <v>94145.75</v>
      </c>
      <c r="F182" s="921">
        <v>101053.25</v>
      </c>
      <c r="G182" s="220">
        <v>45303.5</v>
      </c>
      <c r="H182" s="220">
        <f t="shared" si="83"/>
        <v>146356.75</v>
      </c>
      <c r="I182" s="220">
        <f t="shared" si="84"/>
        <v>52211</v>
      </c>
      <c r="J182" s="916">
        <v>7327.84</v>
      </c>
      <c r="K182" s="916">
        <f t="shared" si="85"/>
        <v>11708.54</v>
      </c>
      <c r="L182" s="916">
        <f t="shared" si="86"/>
        <v>4380.7</v>
      </c>
      <c r="M182" s="916"/>
      <c r="N182" s="916"/>
      <c r="O182" s="916">
        <f t="shared" si="88"/>
        <v>0</v>
      </c>
      <c r="P182" s="916">
        <f t="shared" si="89"/>
        <v>140502.48</v>
      </c>
      <c r="Q182" s="916">
        <f t="shared" si="90"/>
        <v>0</v>
      </c>
    </row>
    <row r="183" customHeight="1" spans="1:17">
      <c r="A183" s="27">
        <v>45</v>
      </c>
      <c r="B183" s="11" t="s">
        <v>383</v>
      </c>
      <c r="C183" s="12" t="s">
        <v>390</v>
      </c>
      <c r="D183" s="15" t="s">
        <v>571</v>
      </c>
      <c r="E183" s="85">
        <v>94145.75</v>
      </c>
      <c r="F183" s="921">
        <v>101053.25</v>
      </c>
      <c r="G183" s="220">
        <v>45303.5</v>
      </c>
      <c r="H183" s="220">
        <f t="shared" si="83"/>
        <v>146356.75</v>
      </c>
      <c r="I183" s="220">
        <f t="shared" si="84"/>
        <v>52211</v>
      </c>
      <c r="J183" s="916">
        <v>7327.84</v>
      </c>
      <c r="K183" s="916">
        <f t="shared" si="85"/>
        <v>11708.54</v>
      </c>
      <c r="L183" s="916">
        <f t="shared" si="86"/>
        <v>4380.7</v>
      </c>
      <c r="M183" s="916"/>
      <c r="N183" s="916"/>
      <c r="O183" s="916">
        <f t="shared" si="88"/>
        <v>0</v>
      </c>
      <c r="P183" s="916">
        <f t="shared" si="89"/>
        <v>140502.48</v>
      </c>
      <c r="Q183" s="916">
        <f t="shared" si="90"/>
        <v>0</v>
      </c>
    </row>
    <row r="184" customHeight="1" spans="1:17">
      <c r="A184" s="27">
        <v>46</v>
      </c>
      <c r="B184" s="11" t="s">
        <v>384</v>
      </c>
      <c r="C184" s="12" t="s">
        <v>390</v>
      </c>
      <c r="D184" s="15" t="s">
        <v>571</v>
      </c>
      <c r="E184" s="85">
        <v>94145.75</v>
      </c>
      <c r="F184" s="921">
        <v>101053.25</v>
      </c>
      <c r="G184" s="220">
        <v>45303.5</v>
      </c>
      <c r="H184" s="220">
        <f t="shared" si="83"/>
        <v>146356.75</v>
      </c>
      <c r="I184" s="220">
        <f t="shared" si="84"/>
        <v>52211</v>
      </c>
      <c r="J184" s="916">
        <v>7327.84</v>
      </c>
      <c r="K184" s="916">
        <f t="shared" si="85"/>
        <v>11708.54</v>
      </c>
      <c r="L184" s="916">
        <f t="shared" si="86"/>
        <v>4380.7</v>
      </c>
      <c r="M184" s="916"/>
      <c r="N184" s="916"/>
      <c r="O184" s="916">
        <f t="shared" si="88"/>
        <v>0</v>
      </c>
      <c r="P184" s="916">
        <f t="shared" si="89"/>
        <v>140502.48</v>
      </c>
      <c r="Q184" s="916">
        <f t="shared" si="90"/>
        <v>0</v>
      </c>
    </row>
    <row r="185" customHeight="1" spans="1:17">
      <c r="A185" s="27">
        <v>47</v>
      </c>
      <c r="B185" s="11" t="s">
        <v>385</v>
      </c>
      <c r="C185" s="12" t="s">
        <v>390</v>
      </c>
      <c r="D185" s="15" t="s">
        <v>571</v>
      </c>
      <c r="E185" s="85">
        <v>94145.75</v>
      </c>
      <c r="F185" s="921">
        <v>101053.25</v>
      </c>
      <c r="G185" s="220">
        <v>45303.5</v>
      </c>
      <c r="H185" s="220">
        <f t="shared" si="83"/>
        <v>146356.75</v>
      </c>
      <c r="I185" s="220">
        <f t="shared" si="84"/>
        <v>52211</v>
      </c>
      <c r="J185" s="916">
        <v>7327.84</v>
      </c>
      <c r="K185" s="916">
        <f t="shared" si="85"/>
        <v>11708.54</v>
      </c>
      <c r="L185" s="916">
        <f t="shared" si="86"/>
        <v>4380.7</v>
      </c>
      <c r="M185" s="916"/>
      <c r="N185" s="916"/>
      <c r="O185" s="916">
        <f t="shared" si="88"/>
        <v>0</v>
      </c>
      <c r="P185" s="916">
        <f t="shared" si="89"/>
        <v>140502.48</v>
      </c>
      <c r="Q185" s="916">
        <f t="shared" si="90"/>
        <v>0</v>
      </c>
    </row>
    <row r="186" customHeight="1" spans="1:17">
      <c r="A186" s="27">
        <v>48</v>
      </c>
      <c r="B186" s="11" t="s">
        <v>386</v>
      </c>
      <c r="C186" s="12" t="s">
        <v>390</v>
      </c>
      <c r="D186" s="15" t="s">
        <v>571</v>
      </c>
      <c r="E186" s="85">
        <v>94145.75</v>
      </c>
      <c r="F186" s="921">
        <v>101053.25</v>
      </c>
      <c r="G186" s="220">
        <v>45303.5</v>
      </c>
      <c r="H186" s="220">
        <f t="shared" si="83"/>
        <v>146356.75</v>
      </c>
      <c r="I186" s="220">
        <f t="shared" si="84"/>
        <v>52211</v>
      </c>
      <c r="J186" s="916">
        <v>7327.84</v>
      </c>
      <c r="K186" s="916">
        <f t="shared" si="85"/>
        <v>11708.54</v>
      </c>
      <c r="L186" s="916">
        <f t="shared" si="86"/>
        <v>4380.7</v>
      </c>
      <c r="M186" s="916"/>
      <c r="N186" s="916"/>
      <c r="O186" s="916">
        <f t="shared" si="88"/>
        <v>0</v>
      </c>
      <c r="P186" s="916">
        <f t="shared" si="89"/>
        <v>140502.48</v>
      </c>
      <c r="Q186" s="916">
        <f t="shared" si="90"/>
        <v>0</v>
      </c>
    </row>
    <row r="187" customHeight="1" spans="1:17">
      <c r="A187" s="27">
        <v>49</v>
      </c>
      <c r="B187" s="18" t="s">
        <v>387</v>
      </c>
      <c r="C187" s="12" t="s">
        <v>390</v>
      </c>
      <c r="D187" s="15" t="s">
        <v>571</v>
      </c>
      <c r="E187" s="85">
        <v>94145.75</v>
      </c>
      <c r="F187" s="921">
        <v>101053.25</v>
      </c>
      <c r="G187" s="220">
        <v>45303.5</v>
      </c>
      <c r="H187" s="220">
        <f t="shared" si="83"/>
        <v>146356.75</v>
      </c>
      <c r="I187" s="220">
        <f t="shared" si="84"/>
        <v>52211</v>
      </c>
      <c r="J187" s="916">
        <v>7327.84</v>
      </c>
      <c r="K187" s="916">
        <f t="shared" si="85"/>
        <v>11708.54</v>
      </c>
      <c r="L187" s="916">
        <f t="shared" si="86"/>
        <v>4380.7</v>
      </c>
      <c r="M187" s="916"/>
      <c r="N187" s="916"/>
      <c r="O187" s="916">
        <f t="shared" si="88"/>
        <v>0</v>
      </c>
      <c r="P187" s="916">
        <f t="shared" si="89"/>
        <v>140502.48</v>
      </c>
      <c r="Q187" s="916">
        <f t="shared" si="90"/>
        <v>0</v>
      </c>
    </row>
    <row r="188" customHeight="1" spans="1:17">
      <c r="A188" s="27">
        <v>50</v>
      </c>
      <c r="B188" s="18" t="s">
        <v>389</v>
      </c>
      <c r="C188" s="12" t="s">
        <v>390</v>
      </c>
      <c r="D188" s="15" t="s">
        <v>571</v>
      </c>
      <c r="E188" s="85">
        <v>94145.75</v>
      </c>
      <c r="F188" s="921">
        <v>101053.25</v>
      </c>
      <c r="G188" s="220">
        <v>45303.5</v>
      </c>
      <c r="H188" s="220">
        <f t="shared" si="83"/>
        <v>146356.75</v>
      </c>
      <c r="I188" s="220">
        <f t="shared" si="84"/>
        <v>52211</v>
      </c>
      <c r="J188" s="916">
        <v>7327.84</v>
      </c>
      <c r="K188" s="916">
        <f t="shared" si="85"/>
        <v>11708.54</v>
      </c>
      <c r="L188" s="916">
        <f t="shared" si="86"/>
        <v>4380.7</v>
      </c>
      <c r="M188" s="916"/>
      <c r="N188" s="916"/>
      <c r="O188" s="916">
        <f t="shared" si="88"/>
        <v>0</v>
      </c>
      <c r="P188" s="916">
        <f t="shared" si="89"/>
        <v>140502.48</v>
      </c>
      <c r="Q188" s="916">
        <f t="shared" si="90"/>
        <v>0</v>
      </c>
    </row>
    <row r="189" customHeight="1" spans="1:17">
      <c r="A189" s="27">
        <v>51</v>
      </c>
      <c r="B189" s="11" t="s">
        <v>572</v>
      </c>
      <c r="C189" s="12" t="s">
        <v>393</v>
      </c>
      <c r="D189" s="15" t="s">
        <v>571</v>
      </c>
      <c r="E189" s="85">
        <v>94145.75</v>
      </c>
      <c r="F189" s="921">
        <v>101053.25</v>
      </c>
      <c r="G189" s="220">
        <v>45303.5</v>
      </c>
      <c r="H189" s="220">
        <f t="shared" si="83"/>
        <v>146356.75</v>
      </c>
      <c r="I189" s="220">
        <f t="shared" si="84"/>
        <v>52211</v>
      </c>
      <c r="J189" s="916"/>
      <c r="K189" s="916">
        <f t="shared" si="85"/>
        <v>11708.54</v>
      </c>
      <c r="L189" s="916">
        <f t="shared" si="86"/>
        <v>11708.54</v>
      </c>
      <c r="M189" s="916"/>
      <c r="N189" s="916"/>
      <c r="O189" s="916">
        <f t="shared" si="88"/>
        <v>0</v>
      </c>
      <c r="P189" s="916">
        <f t="shared" si="89"/>
        <v>140502.48</v>
      </c>
      <c r="Q189" s="916">
        <f t="shared" si="90"/>
        <v>0</v>
      </c>
    </row>
    <row r="190" customHeight="1" spans="1:17">
      <c r="A190" s="27">
        <v>52</v>
      </c>
      <c r="B190" s="11" t="s">
        <v>392</v>
      </c>
      <c r="C190" s="12" t="s">
        <v>393</v>
      </c>
      <c r="D190" s="15" t="s">
        <v>571</v>
      </c>
      <c r="E190" s="85">
        <v>94145.75</v>
      </c>
      <c r="F190" s="921">
        <v>101053.25</v>
      </c>
      <c r="G190" s="220">
        <v>45303.5</v>
      </c>
      <c r="H190" s="220">
        <f t="shared" si="83"/>
        <v>146356.75</v>
      </c>
      <c r="I190" s="220">
        <f t="shared" si="84"/>
        <v>52211</v>
      </c>
      <c r="J190" s="916">
        <v>7327.84</v>
      </c>
      <c r="K190" s="916">
        <f t="shared" si="85"/>
        <v>11708.54</v>
      </c>
      <c r="L190" s="916">
        <f t="shared" si="86"/>
        <v>4380.7</v>
      </c>
      <c r="M190" s="916"/>
      <c r="N190" s="916"/>
      <c r="O190" s="916">
        <f t="shared" si="88"/>
        <v>0</v>
      </c>
      <c r="P190" s="916">
        <f t="shared" si="89"/>
        <v>140502.48</v>
      </c>
      <c r="Q190" s="916">
        <f t="shared" si="90"/>
        <v>0</v>
      </c>
    </row>
    <row r="191" customHeight="1" spans="1:17">
      <c r="A191" s="27">
        <v>53</v>
      </c>
      <c r="B191" s="18" t="s">
        <v>360</v>
      </c>
      <c r="C191" s="12" t="s">
        <v>395</v>
      </c>
      <c r="D191" s="15" t="s">
        <v>573</v>
      </c>
      <c r="E191" s="85">
        <v>91598</v>
      </c>
      <c r="F191" s="921">
        <v>99486.9166666667</v>
      </c>
      <c r="G191" s="220">
        <v>44008.75</v>
      </c>
      <c r="H191" s="220">
        <f t="shared" si="83"/>
        <v>143495.666666667</v>
      </c>
      <c r="I191" s="220">
        <f t="shared" si="84"/>
        <v>51897.6666666667</v>
      </c>
      <c r="J191" s="916">
        <v>7124.02</v>
      </c>
      <c r="K191" s="916">
        <f t="shared" si="85"/>
        <v>11479.6533333333</v>
      </c>
      <c r="L191" s="916">
        <f t="shared" si="86"/>
        <v>4355.63333333334</v>
      </c>
      <c r="M191" s="916"/>
      <c r="N191" s="916"/>
      <c r="O191" s="916">
        <f t="shared" si="88"/>
        <v>0</v>
      </c>
      <c r="P191" s="916">
        <f t="shared" si="89"/>
        <v>137755.84</v>
      </c>
      <c r="Q191" s="916">
        <f t="shared" si="90"/>
        <v>0</v>
      </c>
    </row>
    <row r="192" customHeight="1" spans="1:17">
      <c r="A192" s="27">
        <v>54</v>
      </c>
      <c r="B192" s="18" t="s">
        <v>394</v>
      </c>
      <c r="C192" s="12" t="s">
        <v>395</v>
      </c>
      <c r="D192" s="15" t="s">
        <v>398</v>
      </c>
      <c r="E192" s="85">
        <v>86502.5</v>
      </c>
      <c r="F192" s="921">
        <v>96354.25</v>
      </c>
      <c r="G192" s="220">
        <v>41419.25</v>
      </c>
      <c r="H192" s="220">
        <f t="shared" si="83"/>
        <v>137773.5</v>
      </c>
      <c r="I192" s="220">
        <f t="shared" si="84"/>
        <v>51271</v>
      </c>
      <c r="J192" s="916"/>
      <c r="K192" s="916">
        <f t="shared" si="85"/>
        <v>11021.88</v>
      </c>
      <c r="L192" s="916">
        <f t="shared" si="86"/>
        <v>11021.88</v>
      </c>
      <c r="M192" s="916"/>
      <c r="N192" s="916"/>
      <c r="O192" s="916">
        <f t="shared" si="88"/>
        <v>0</v>
      </c>
      <c r="P192" s="916">
        <f t="shared" si="89"/>
        <v>132262.56</v>
      </c>
      <c r="Q192" s="916">
        <f t="shared" si="90"/>
        <v>0</v>
      </c>
    </row>
    <row r="193" customHeight="1" spans="1:17">
      <c r="A193" s="27">
        <v>55</v>
      </c>
      <c r="B193" s="18" t="s">
        <v>397</v>
      </c>
      <c r="C193" s="12" t="s">
        <v>395</v>
      </c>
      <c r="D193" s="15" t="s">
        <v>400</v>
      </c>
      <c r="E193" s="85">
        <v>83933</v>
      </c>
      <c r="F193" s="921">
        <v>94788.1666666667</v>
      </c>
      <c r="G193" s="220">
        <v>40124.5</v>
      </c>
      <c r="H193" s="220">
        <f t="shared" si="83"/>
        <v>134912.666666667</v>
      </c>
      <c r="I193" s="220">
        <f t="shared" si="84"/>
        <v>50979.6666666667</v>
      </c>
      <c r="J193" s="916">
        <v>6920.2</v>
      </c>
      <c r="K193" s="916">
        <f t="shared" si="85"/>
        <v>10793.0133333333</v>
      </c>
      <c r="L193" s="916">
        <f t="shared" si="86"/>
        <v>3872.81333333333</v>
      </c>
      <c r="M193" s="916"/>
      <c r="N193" s="916"/>
      <c r="O193" s="916">
        <f t="shared" si="88"/>
        <v>0</v>
      </c>
      <c r="P193" s="916">
        <f t="shared" si="89"/>
        <v>129516.16</v>
      </c>
      <c r="Q193" s="916">
        <f t="shared" si="90"/>
        <v>0</v>
      </c>
    </row>
    <row r="194" customHeight="1" spans="1:17">
      <c r="A194" s="27">
        <v>56</v>
      </c>
      <c r="B194" s="18" t="s">
        <v>401</v>
      </c>
      <c r="C194" s="12" t="s">
        <v>402</v>
      </c>
      <c r="D194" s="15" t="s">
        <v>513</v>
      </c>
      <c r="E194" s="85">
        <v>78733.8333333333</v>
      </c>
      <c r="F194" s="909">
        <v>91578.25</v>
      </c>
      <c r="G194" s="4">
        <v>37471.1666666667</v>
      </c>
      <c r="H194" s="220">
        <f t="shared" si="83"/>
        <v>129049.416666667</v>
      </c>
      <c r="I194" s="220">
        <f t="shared" si="84"/>
        <v>50315.5833333334</v>
      </c>
      <c r="J194" s="916">
        <v>6123.26</v>
      </c>
      <c r="K194" s="916">
        <f t="shared" si="85"/>
        <v>10323.9533333333</v>
      </c>
      <c r="L194" s="916">
        <f t="shared" si="86"/>
        <v>4200.69333333334</v>
      </c>
      <c r="M194" s="916"/>
      <c r="N194" s="916"/>
      <c r="O194" s="916">
        <f t="shared" si="88"/>
        <v>0</v>
      </c>
      <c r="P194" s="916">
        <f t="shared" si="89"/>
        <v>123887.44</v>
      </c>
      <c r="Q194" s="916">
        <f t="shared" si="90"/>
        <v>0</v>
      </c>
    </row>
    <row r="195" customHeight="1" spans="1:17">
      <c r="A195" s="27">
        <v>57</v>
      </c>
      <c r="B195" s="18" t="s">
        <v>404</v>
      </c>
      <c r="C195" s="12" t="s">
        <v>402</v>
      </c>
      <c r="D195" s="15" t="s">
        <v>513</v>
      </c>
      <c r="E195" s="85">
        <v>78733.8333333333</v>
      </c>
      <c r="F195" s="909">
        <v>91578.25</v>
      </c>
      <c r="G195" s="4">
        <v>37471.1666666667</v>
      </c>
      <c r="H195" s="220">
        <f t="shared" si="83"/>
        <v>129049.416666667</v>
      </c>
      <c r="I195" s="220">
        <f t="shared" si="84"/>
        <v>50315.5833333334</v>
      </c>
      <c r="J195" s="916">
        <v>6123.26</v>
      </c>
      <c r="K195" s="916">
        <f t="shared" si="85"/>
        <v>10323.9533333333</v>
      </c>
      <c r="L195" s="916">
        <f t="shared" si="86"/>
        <v>4200.69333333334</v>
      </c>
      <c r="M195" s="916"/>
      <c r="N195" s="916"/>
      <c r="O195" s="916">
        <f t="shared" si="88"/>
        <v>0</v>
      </c>
      <c r="P195" s="916">
        <f t="shared" si="89"/>
        <v>123887.44</v>
      </c>
      <c r="Q195" s="916">
        <f t="shared" si="90"/>
        <v>0</v>
      </c>
    </row>
    <row r="196" customHeight="1" spans="1:17">
      <c r="A196" s="27">
        <v>58</v>
      </c>
      <c r="B196" s="18" t="s">
        <v>405</v>
      </c>
      <c r="C196" s="12" t="s">
        <v>402</v>
      </c>
      <c r="D196" s="15" t="s">
        <v>513</v>
      </c>
      <c r="E196" s="85">
        <v>78733.8333333333</v>
      </c>
      <c r="F196" s="909">
        <v>91578.25</v>
      </c>
      <c r="G196" s="4">
        <v>37471.1666666667</v>
      </c>
      <c r="H196" s="220">
        <f t="shared" si="83"/>
        <v>129049.416666667</v>
      </c>
      <c r="I196" s="220">
        <f t="shared" si="84"/>
        <v>50315.5833333334</v>
      </c>
      <c r="J196" s="916">
        <v>6123.26</v>
      </c>
      <c r="K196" s="916">
        <f t="shared" si="85"/>
        <v>10323.9533333333</v>
      </c>
      <c r="L196" s="916">
        <f t="shared" si="86"/>
        <v>4200.69333333334</v>
      </c>
      <c r="M196" s="916"/>
      <c r="N196" s="916"/>
      <c r="O196" s="916">
        <f t="shared" si="88"/>
        <v>0</v>
      </c>
      <c r="P196" s="916">
        <f t="shared" si="89"/>
        <v>123887.44</v>
      </c>
      <c r="Q196" s="916">
        <f t="shared" si="90"/>
        <v>0</v>
      </c>
    </row>
    <row r="197" customHeight="1" spans="1:17">
      <c r="A197" s="27">
        <v>59</v>
      </c>
      <c r="B197" s="18" t="s">
        <v>406</v>
      </c>
      <c r="C197" s="12" t="s">
        <v>407</v>
      </c>
      <c r="D197" s="15" t="s">
        <v>396</v>
      </c>
      <c r="E197" s="85">
        <v>89050.25</v>
      </c>
      <c r="F197" s="909">
        <v>97920.6666666667</v>
      </c>
      <c r="G197" s="220">
        <v>42714</v>
      </c>
      <c r="H197" s="220">
        <f t="shared" si="83"/>
        <v>140634.666666667</v>
      </c>
      <c r="I197" s="220">
        <f t="shared" si="84"/>
        <v>51584.4166666667</v>
      </c>
      <c r="J197" s="916">
        <v>6920.2</v>
      </c>
      <c r="K197" s="916">
        <f t="shared" si="85"/>
        <v>11250.7733333333</v>
      </c>
      <c r="L197" s="916">
        <f t="shared" si="86"/>
        <v>4330.57333333333</v>
      </c>
      <c r="M197" s="916"/>
      <c r="N197" s="916"/>
      <c r="O197" s="916">
        <f t="shared" si="88"/>
        <v>0</v>
      </c>
      <c r="P197" s="916">
        <f t="shared" si="89"/>
        <v>135009.28</v>
      </c>
      <c r="Q197" s="916">
        <f t="shared" si="90"/>
        <v>0</v>
      </c>
    </row>
    <row r="198" customHeight="1" spans="1:17">
      <c r="A198" s="27">
        <v>60</v>
      </c>
      <c r="B198" s="18" t="s">
        <v>409</v>
      </c>
      <c r="C198" s="12" t="s">
        <v>407</v>
      </c>
      <c r="D198" s="15" t="s">
        <v>396</v>
      </c>
      <c r="E198" s="85">
        <v>89050.25</v>
      </c>
      <c r="F198" s="909">
        <v>97920.6666666667</v>
      </c>
      <c r="G198" s="220">
        <v>42714</v>
      </c>
      <c r="H198" s="220">
        <f t="shared" si="83"/>
        <v>140634.666666667</v>
      </c>
      <c r="I198" s="220">
        <f t="shared" si="84"/>
        <v>51584.4166666667</v>
      </c>
      <c r="J198" s="916">
        <v>6920.2</v>
      </c>
      <c r="K198" s="916">
        <f t="shared" si="85"/>
        <v>11250.7733333333</v>
      </c>
      <c r="L198" s="916">
        <f t="shared" si="86"/>
        <v>4330.57333333333</v>
      </c>
      <c r="M198" s="916"/>
      <c r="N198" s="916"/>
      <c r="O198" s="916">
        <f t="shared" si="88"/>
        <v>0</v>
      </c>
      <c r="P198" s="916">
        <f t="shared" si="89"/>
        <v>135009.28</v>
      </c>
      <c r="Q198" s="916">
        <f t="shared" si="90"/>
        <v>0</v>
      </c>
    </row>
    <row r="199" ht="30.75" customHeight="1" spans="1:17">
      <c r="A199" s="27"/>
      <c r="B199" s="8" t="s">
        <v>120</v>
      </c>
      <c r="C199" s="28" t="s">
        <v>574</v>
      </c>
      <c r="D199" s="29"/>
      <c r="E199" s="93">
        <f t="shared" ref="E199:Q199" si="94">SUM(E139:E198)</f>
        <v>14787756.9166667</v>
      </c>
      <c r="F199" s="912">
        <f t="shared" si="94"/>
        <v>12440135.5</v>
      </c>
      <c r="G199" s="93">
        <f t="shared" si="94"/>
        <v>6814126.75</v>
      </c>
      <c r="H199" s="93">
        <f t="shared" si="94"/>
        <v>19254262.25</v>
      </c>
      <c r="I199" s="93">
        <f t="shared" si="94"/>
        <v>4466505.33333333</v>
      </c>
      <c r="J199" s="93">
        <f t="shared" si="94"/>
        <v>1154618.35666667</v>
      </c>
      <c r="K199" s="93">
        <f t="shared" si="94"/>
        <v>1540340.98</v>
      </c>
      <c r="L199" s="93">
        <f t="shared" si="94"/>
        <v>385722.623333334</v>
      </c>
      <c r="M199" s="93">
        <f t="shared" si="94"/>
        <v>72300.4916666667</v>
      </c>
      <c r="N199" s="93">
        <f t="shared" si="94"/>
        <v>150315.125</v>
      </c>
      <c r="O199" s="93">
        <f t="shared" si="94"/>
        <v>78014.6333333333</v>
      </c>
      <c r="P199" s="93">
        <f t="shared" si="94"/>
        <v>18484091.76</v>
      </c>
      <c r="Q199" s="93">
        <f t="shared" si="94"/>
        <v>1803781.5</v>
      </c>
    </row>
    <row r="200" ht="30" customHeight="1" spans="1:17">
      <c r="A200" s="4"/>
      <c r="B200" s="30" t="s">
        <v>575</v>
      </c>
      <c r="C200" s="31">
        <f>C39+C46+C57+C62+C72+C81+C94+C102+C112+C123+C136+C199</f>
        <v>153</v>
      </c>
      <c r="D200" s="32"/>
      <c r="E200" s="227">
        <f t="shared" ref="E200:Q200" si="95">E199+E136+E123+E118+E112+E102+E94+E81+E72+E62+E57+E46+E39</f>
        <v>62694852.3336667</v>
      </c>
      <c r="F200" s="923">
        <f t="shared" si="95"/>
        <v>49056822</v>
      </c>
      <c r="G200" s="227">
        <f t="shared" si="95"/>
        <v>29017396.5</v>
      </c>
      <c r="H200" s="227">
        <f t="shared" si="95"/>
        <v>78074218.5</v>
      </c>
      <c r="I200" s="924">
        <f t="shared" si="95"/>
        <v>15379366.1663333</v>
      </c>
      <c r="J200" s="227">
        <f t="shared" si="95"/>
        <v>4754163.56</v>
      </c>
      <c r="K200" s="227">
        <f t="shared" si="95"/>
        <v>6015821.97333333</v>
      </c>
      <c r="L200" s="924">
        <f t="shared" si="95"/>
        <v>1261658.41333333</v>
      </c>
      <c r="M200" s="227">
        <f t="shared" si="95"/>
        <v>267480.25625</v>
      </c>
      <c r="N200" s="227">
        <f t="shared" si="95"/>
        <v>513039.26875</v>
      </c>
      <c r="O200" s="924">
        <f t="shared" si="95"/>
        <v>245559.0125</v>
      </c>
      <c r="P200" s="227">
        <f t="shared" si="95"/>
        <v>72189863.68</v>
      </c>
      <c r="Q200" s="227">
        <f t="shared" si="95"/>
        <v>5757905.45</v>
      </c>
    </row>
    <row r="201" s="1" customFormat="1" ht="35.25" customHeight="1" spans="1:16">
      <c r="A201" s="4"/>
      <c r="B201" s="30" t="s">
        <v>576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577</v>
      </c>
      <c r="C202" s="31">
        <f>SUM(C200:C201)</f>
        <v>175</v>
      </c>
      <c r="D202" s="32"/>
      <c r="E202" s="227">
        <f t="shared" ref="E202:Q202" si="96">E200+E201</f>
        <v>69258581.5836667</v>
      </c>
      <c r="F202" s="227">
        <f t="shared" si="96"/>
        <v>54402916.8333333</v>
      </c>
      <c r="G202" s="227">
        <f t="shared" si="96"/>
        <v>32040283.9166667</v>
      </c>
      <c r="H202" s="227">
        <f t="shared" si="96"/>
        <v>86443200.75</v>
      </c>
      <c r="I202" s="227">
        <f t="shared" si="96"/>
        <v>17184619.1663333</v>
      </c>
      <c r="J202" s="227">
        <f t="shared" si="96"/>
        <v>5279261.9</v>
      </c>
      <c r="K202" s="227">
        <f t="shared" si="96"/>
        <v>6685340.55333333</v>
      </c>
      <c r="L202" s="227">
        <f t="shared" si="96"/>
        <v>1406078.65333333</v>
      </c>
      <c r="M202" s="227">
        <f t="shared" si="96"/>
        <v>267480.25625</v>
      </c>
      <c r="N202" s="227">
        <f t="shared" si="96"/>
        <v>513039.26875</v>
      </c>
      <c r="O202" s="227">
        <f t="shared" si="96"/>
        <v>245559.0125</v>
      </c>
      <c r="P202" s="227">
        <f t="shared" si="96"/>
        <v>72189863.68</v>
      </c>
      <c r="Q202" s="227">
        <f t="shared" si="96"/>
        <v>5757905.45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14">
      <c r="F205" s="1"/>
      <c r="N205" s="13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view="pageBreakPreview" zoomScaleNormal="100" workbookViewId="0">
      <selection activeCell="K6" sqref="K6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578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579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1009"/>
      <c r="J3" s="1009"/>
      <c r="K3" s="1009"/>
    </row>
    <row r="4" ht="41" customHeight="1" spans="1:11">
      <c r="A4" s="754" t="s">
        <v>580</v>
      </c>
      <c r="B4" s="990" t="s">
        <v>581</v>
      </c>
      <c r="C4" s="990" t="s">
        <v>582</v>
      </c>
      <c r="D4" s="990" t="s">
        <v>583</v>
      </c>
      <c r="E4" s="990" t="s">
        <v>584</v>
      </c>
      <c r="F4" s="990" t="s">
        <v>585</v>
      </c>
      <c r="G4" s="990" t="s">
        <v>586</v>
      </c>
      <c r="H4" s="990" t="s">
        <v>587</v>
      </c>
      <c r="I4" s="990" t="s">
        <v>588</v>
      </c>
      <c r="J4" s="990" t="s">
        <v>589</v>
      </c>
      <c r="K4" s="990" t="s">
        <v>590</v>
      </c>
    </row>
    <row r="5" ht="14" spans="1:11">
      <c r="A5" s="754"/>
      <c r="B5" s="998"/>
      <c r="C5" s="999"/>
      <c r="D5" s="999"/>
      <c r="E5" s="999"/>
      <c r="F5" s="1000" t="s">
        <v>20</v>
      </c>
      <c r="G5" s="1000" t="s">
        <v>20</v>
      </c>
      <c r="H5" s="1000" t="s">
        <v>20</v>
      </c>
      <c r="I5" s="1000"/>
      <c r="J5" s="1000"/>
      <c r="K5" s="1000" t="s">
        <v>20</v>
      </c>
    </row>
    <row r="6" ht="30" customHeight="1" spans="1:11">
      <c r="A6" s="760">
        <v>13</v>
      </c>
      <c r="B6" s="1001" t="s">
        <v>591</v>
      </c>
      <c r="C6" s="1002" t="s">
        <v>592</v>
      </c>
      <c r="D6" s="1006" t="s">
        <v>593</v>
      </c>
      <c r="E6" s="1001" t="s">
        <v>594</v>
      </c>
      <c r="F6" s="1004">
        <v>415320.666666667</v>
      </c>
      <c r="G6" s="1004">
        <v>432145.333333333</v>
      </c>
      <c r="H6" s="1004">
        <f>G6-F6</f>
        <v>16824.666666666</v>
      </c>
      <c r="I6" s="1002" t="s">
        <v>595</v>
      </c>
      <c r="J6" s="1010">
        <v>4</v>
      </c>
      <c r="K6" s="1004">
        <f>J6*H6</f>
        <v>67298.6666666642</v>
      </c>
    </row>
    <row r="7" ht="22" customHeight="1" spans="1:11">
      <c r="A7" s="1005"/>
      <c r="B7" s="1005" t="s">
        <v>120</v>
      </c>
      <c r="C7" s="1005"/>
      <c r="D7" s="1005"/>
      <c r="E7" s="1005"/>
      <c r="F7" s="1004"/>
      <c r="G7" s="1004"/>
      <c r="H7" s="1007">
        <f>SUM(H6:H6)</f>
        <v>16824.666666666</v>
      </c>
      <c r="I7" s="1005"/>
      <c r="J7" s="1011"/>
      <c r="K7" s="1012">
        <f>SUM(K6:K6)</f>
        <v>67298.6666666642</v>
      </c>
    </row>
    <row r="8" ht="14" spans="1:11">
      <c r="A8" s="1008"/>
      <c r="B8" s="1008"/>
      <c r="C8" s="1008"/>
      <c r="D8" s="1008"/>
      <c r="E8" s="1008"/>
      <c r="F8" s="1008"/>
      <c r="G8" s="1008"/>
      <c r="H8" s="1008"/>
      <c r="I8" s="1008"/>
      <c r="J8" s="1008"/>
      <c r="K8" s="1008"/>
    </row>
    <row r="9" ht="14" spans="1:11">
      <c r="A9" s="1008"/>
      <c r="B9" s="1008"/>
      <c r="C9" s="1008"/>
      <c r="D9" s="1008"/>
      <c r="E9" s="1008"/>
      <c r="F9" s="1008"/>
      <c r="G9" s="1008"/>
      <c r="H9" s="1008"/>
      <c r="I9" s="1008"/>
      <c r="J9" s="1008"/>
      <c r="K9" s="1008"/>
    </row>
    <row r="10" ht="14" spans="1:11">
      <c r="A10" s="1008"/>
      <c r="B10" s="1008"/>
      <c r="C10" s="1008"/>
      <c r="D10" s="1008"/>
      <c r="E10" s="1008"/>
      <c r="F10" s="1008"/>
      <c r="G10" s="1008"/>
      <c r="H10" s="1008"/>
      <c r="I10" s="1008"/>
      <c r="J10" s="1008"/>
      <c r="K10" s="1008"/>
    </row>
    <row r="11" ht="14" spans="1:11">
      <c r="A11" s="1008"/>
      <c r="B11" s="1008"/>
      <c r="C11" s="1008"/>
      <c r="D11" s="1008"/>
      <c r="E11" s="1008"/>
      <c r="F11" s="1008"/>
      <c r="G11" s="1008"/>
      <c r="H11" s="1008"/>
      <c r="I11" s="1008"/>
      <c r="J11" s="1008"/>
      <c r="K11" s="1008"/>
    </row>
    <row r="12" ht="14" spans="1:11">
      <c r="A12" s="1008"/>
      <c r="B12" s="1008"/>
      <c r="C12" s="1008"/>
      <c r="D12" s="1008"/>
      <c r="E12" s="1008"/>
      <c r="F12" s="1008"/>
      <c r="G12" s="1008"/>
      <c r="H12" s="1008"/>
      <c r="I12" s="1008"/>
      <c r="J12" s="1008"/>
      <c r="K12" s="1008"/>
    </row>
    <row r="13" ht="14" spans="1:11">
      <c r="A13" s="1008"/>
      <c r="B13" s="1008"/>
      <c r="C13" s="1008"/>
      <c r="D13" s="1008"/>
      <c r="E13" s="1008"/>
      <c r="F13" s="1008"/>
      <c r="G13" s="1008"/>
      <c r="H13" s="1008"/>
      <c r="I13" s="1008"/>
      <c r="J13" s="1008"/>
      <c r="K13" s="1008"/>
    </row>
    <row r="14" ht="14" spans="1:11">
      <c r="A14" s="1008"/>
      <c r="B14" s="1008"/>
      <c r="C14" s="1008"/>
      <c r="D14" s="1008"/>
      <c r="E14" s="1008"/>
      <c r="F14" s="1008"/>
      <c r="G14" s="1008"/>
      <c r="H14" s="1008"/>
      <c r="I14" s="1008"/>
      <c r="J14" s="1008"/>
      <c r="K14" s="1008"/>
    </row>
    <row r="15" ht="14" spans="1:11">
      <c r="A15" s="1008"/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</row>
    <row r="16" ht="14" spans="1:11">
      <c r="A16" s="1008"/>
      <c r="B16" s="1008"/>
      <c r="C16" s="1008"/>
      <c r="D16" s="1008"/>
      <c r="E16" s="1008"/>
      <c r="F16" s="1008"/>
      <c r="G16" s="1008"/>
      <c r="H16" s="1008"/>
      <c r="I16" s="1008"/>
      <c r="J16" s="1008"/>
      <c r="K16" s="1008"/>
    </row>
    <row r="17" ht="14" spans="1:11">
      <c r="A17" s="1008"/>
      <c r="B17" s="1008"/>
      <c r="C17" s="1008"/>
      <c r="D17" s="1008"/>
      <c r="E17" s="1008"/>
      <c r="F17" s="1008"/>
      <c r="G17" s="1008"/>
      <c r="H17" s="1008"/>
      <c r="I17" s="1008"/>
      <c r="J17" s="1008"/>
      <c r="K17" s="1008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2"/>
  <sheetViews>
    <sheetView zoomScale="90" zoomScaleNormal="90" zoomScaleSheetLayoutView="50" workbookViewId="0">
      <pane xSplit="3" ySplit="7" topLeftCell="D248" activePane="bottomRight" state="frozen"/>
      <selection/>
      <selection pane="topRight"/>
      <selection pane="bottomLeft"/>
      <selection pane="bottomRight" activeCell="G4" sqref="G4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596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809" t="s">
        <v>597</v>
      </c>
    </row>
    <row r="5" ht="8" customHeight="1" spans="3:4">
      <c r="C5" s="8"/>
      <c r="D5" s="8"/>
    </row>
    <row r="6" customHeight="1" spans="1:5">
      <c r="A6" s="9" t="s">
        <v>21</v>
      </c>
      <c r="B6" s="8" t="s">
        <v>22</v>
      </c>
      <c r="C6" s="8"/>
      <c r="D6" s="8"/>
      <c r="E6" s="810" t="s">
        <v>20</v>
      </c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11">
        <v>648000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11">
        <v>216000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11">
        <v>216000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11">
        <v>216000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207</v>
      </c>
      <c r="E11" s="811">
        <v>216000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49</v>
      </c>
      <c r="E12" s="811">
        <v>151200</v>
      </c>
    </row>
    <row r="13" customHeight="1" spans="1:5">
      <c r="A13" s="10">
        <v>7</v>
      </c>
      <c r="B13" s="11" t="s">
        <v>39</v>
      </c>
      <c r="C13" s="4" t="s">
        <v>40</v>
      </c>
      <c r="D13" s="15" t="s">
        <v>41</v>
      </c>
      <c r="E13" s="811">
        <v>151200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49</v>
      </c>
      <c r="E14" s="811">
        <v>151200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212</v>
      </c>
      <c r="E15" s="811">
        <v>108000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41</v>
      </c>
      <c r="E16" s="811">
        <v>151200</v>
      </c>
    </row>
    <row r="17" customHeight="1" spans="1:5">
      <c r="A17" s="10">
        <v>11</v>
      </c>
      <c r="B17" s="11" t="s">
        <v>50</v>
      </c>
      <c r="C17" s="12" t="s">
        <v>51</v>
      </c>
      <c r="D17" s="10" t="s">
        <v>501</v>
      </c>
      <c r="E17" s="811">
        <v>108000</v>
      </c>
    </row>
    <row r="18" customHeight="1" spans="1:5">
      <c r="A18" s="10">
        <v>12</v>
      </c>
      <c r="B18" s="18" t="s">
        <v>53</v>
      </c>
      <c r="C18" s="4" t="s">
        <v>54</v>
      </c>
      <c r="D18" s="15" t="s">
        <v>502</v>
      </c>
      <c r="E18" s="811">
        <v>108000</v>
      </c>
    </row>
    <row r="19" customHeight="1" spans="1:5">
      <c r="A19" s="10">
        <v>13</v>
      </c>
      <c r="B19" s="18" t="s">
        <v>56</v>
      </c>
      <c r="C19" s="4" t="s">
        <v>57</v>
      </c>
      <c r="D19" s="15" t="s">
        <v>503</v>
      </c>
      <c r="E19" s="811">
        <v>108000</v>
      </c>
    </row>
    <row r="20" customHeight="1" spans="1:5">
      <c r="A20" s="10">
        <v>14</v>
      </c>
      <c r="B20" s="18" t="s">
        <v>59</v>
      </c>
      <c r="C20" s="4" t="s">
        <v>60</v>
      </c>
      <c r="D20" s="15" t="s">
        <v>503</v>
      </c>
      <c r="E20" s="811">
        <v>108000</v>
      </c>
    </row>
    <row r="21" customHeight="1" spans="1:5">
      <c r="A21" s="10">
        <v>15</v>
      </c>
      <c r="B21" s="11" t="s">
        <v>61</v>
      </c>
      <c r="C21" s="12" t="s">
        <v>62</v>
      </c>
      <c r="D21" s="15" t="s">
        <v>66</v>
      </c>
      <c r="E21" s="811">
        <v>108000</v>
      </c>
    </row>
    <row r="22" ht="18.75" customHeight="1" spans="1:5">
      <c r="A22" s="10">
        <v>16</v>
      </c>
      <c r="B22" s="11" t="s">
        <v>64</v>
      </c>
      <c r="C22" s="4" t="s">
        <v>65</v>
      </c>
      <c r="D22" s="15" t="s">
        <v>66</v>
      </c>
      <c r="E22" s="811">
        <v>108000</v>
      </c>
    </row>
    <row r="23" customHeight="1" spans="1:5">
      <c r="A23" s="10">
        <v>17</v>
      </c>
      <c r="B23" s="14" t="s">
        <v>67</v>
      </c>
      <c r="C23" s="17" t="s">
        <v>68</v>
      </c>
      <c r="D23" s="10" t="s">
        <v>131</v>
      </c>
      <c r="E23" s="811">
        <v>81600</v>
      </c>
    </row>
    <row r="24" ht="21.6" customHeight="1" spans="1:5">
      <c r="A24" s="10">
        <v>18</v>
      </c>
      <c r="B24" s="11" t="s">
        <v>70</v>
      </c>
      <c r="C24" s="17" t="s">
        <v>71</v>
      </c>
      <c r="D24" s="15" t="s">
        <v>131</v>
      </c>
      <c r="E24" s="811">
        <v>81600</v>
      </c>
    </row>
    <row r="25" customHeight="1" spans="1:5">
      <c r="A25" s="10">
        <v>19</v>
      </c>
      <c r="B25" s="14" t="s">
        <v>72</v>
      </c>
      <c r="C25" s="17" t="s">
        <v>73</v>
      </c>
      <c r="D25" s="10" t="s">
        <v>80</v>
      </c>
      <c r="E25" s="811">
        <v>81600</v>
      </c>
    </row>
    <row r="26" customHeight="1" spans="1:5">
      <c r="A26" s="10">
        <v>20</v>
      </c>
      <c r="B26" s="14" t="s">
        <v>75</v>
      </c>
      <c r="C26" s="17" t="s">
        <v>76</v>
      </c>
      <c r="D26" s="10" t="s">
        <v>74</v>
      </c>
      <c r="E26" s="811">
        <v>81600</v>
      </c>
    </row>
    <row r="27" ht="18.75" customHeight="1" spans="1:5">
      <c r="A27" s="10">
        <v>21</v>
      </c>
      <c r="B27" s="18" t="s">
        <v>78</v>
      </c>
      <c r="C27" s="12" t="s">
        <v>79</v>
      </c>
      <c r="D27" s="15" t="s">
        <v>80</v>
      </c>
      <c r="E27" s="811">
        <v>81600</v>
      </c>
    </row>
    <row r="28" customHeight="1" spans="1:5">
      <c r="A28" s="10">
        <v>22</v>
      </c>
      <c r="B28" s="11" t="s">
        <v>81</v>
      </c>
      <c r="C28" s="4" t="s">
        <v>82</v>
      </c>
      <c r="D28" s="15" t="s">
        <v>80</v>
      </c>
      <c r="E28" s="811">
        <v>81600</v>
      </c>
    </row>
    <row r="29" ht="18.75" customHeight="1" spans="1:5">
      <c r="A29" s="10">
        <v>23</v>
      </c>
      <c r="B29" s="18" t="s">
        <v>83</v>
      </c>
      <c r="C29" s="12" t="s">
        <v>84</v>
      </c>
      <c r="D29" s="15" t="s">
        <v>88</v>
      </c>
      <c r="E29" s="811">
        <v>64800</v>
      </c>
    </row>
    <row r="30" ht="18.75" customHeight="1" spans="1:5">
      <c r="A30" s="10">
        <v>24</v>
      </c>
      <c r="B30" s="18" t="s">
        <v>86</v>
      </c>
      <c r="C30" s="4" t="s">
        <v>87</v>
      </c>
      <c r="D30" s="10" t="s">
        <v>99</v>
      </c>
      <c r="E30" s="811">
        <v>64800</v>
      </c>
    </row>
    <row r="31" ht="18.75" customHeight="1" spans="1:5">
      <c r="A31" s="10">
        <v>25</v>
      </c>
      <c r="B31" s="18" t="s">
        <v>89</v>
      </c>
      <c r="C31" s="4" t="s">
        <v>90</v>
      </c>
      <c r="D31" s="15" t="s">
        <v>80</v>
      </c>
      <c r="E31" s="811">
        <v>81600</v>
      </c>
    </row>
    <row r="32" ht="18.75" customHeight="1" spans="1:5">
      <c r="A32" s="10">
        <v>26</v>
      </c>
      <c r="B32" s="18" t="s">
        <v>91</v>
      </c>
      <c r="C32" s="4" t="s">
        <v>92</v>
      </c>
      <c r="D32" s="15" t="s">
        <v>80</v>
      </c>
      <c r="E32" s="811">
        <v>81600</v>
      </c>
    </row>
    <row r="33" ht="18.75" customHeight="1" spans="1:5">
      <c r="A33" s="10">
        <v>27</v>
      </c>
      <c r="B33" s="18" t="s">
        <v>93</v>
      </c>
      <c r="C33" s="4" t="s">
        <v>94</v>
      </c>
      <c r="D33" s="10" t="s">
        <v>99</v>
      </c>
      <c r="E33" s="811">
        <v>64800</v>
      </c>
    </row>
    <row r="34" ht="18.75" customHeight="1" spans="1:5">
      <c r="A34" s="10">
        <v>28</v>
      </c>
      <c r="B34" s="18" t="s">
        <v>95</v>
      </c>
      <c r="C34" s="4" t="s">
        <v>96</v>
      </c>
      <c r="D34" s="15" t="s">
        <v>80</v>
      </c>
      <c r="E34" s="811">
        <v>81600</v>
      </c>
    </row>
    <row r="35" s="1" customFormat="1" ht="18.75" customHeight="1" spans="1:5">
      <c r="A35" s="10">
        <v>29</v>
      </c>
      <c r="B35" s="18" t="s">
        <v>97</v>
      </c>
      <c r="C35" s="4" t="s">
        <v>98</v>
      </c>
      <c r="D35" s="10" t="s">
        <v>344</v>
      </c>
      <c r="E35" s="811">
        <v>64800</v>
      </c>
    </row>
    <row r="36" s="1" customFormat="1" ht="18.75" customHeight="1" spans="1:5">
      <c r="A36" s="10">
        <v>30</v>
      </c>
      <c r="B36" s="18" t="s">
        <v>100</v>
      </c>
      <c r="C36" s="4" t="s">
        <v>98</v>
      </c>
      <c r="D36" s="10" t="s">
        <v>344</v>
      </c>
      <c r="E36" s="811">
        <v>64800</v>
      </c>
    </row>
    <row r="37" s="1" customFormat="1" ht="18.75" customHeight="1" spans="1:5">
      <c r="A37" s="10">
        <v>31</v>
      </c>
      <c r="B37" s="18" t="s">
        <v>101</v>
      </c>
      <c r="C37" s="4" t="s">
        <v>84</v>
      </c>
      <c r="D37" s="10" t="s">
        <v>344</v>
      </c>
      <c r="E37" s="811">
        <v>64800</v>
      </c>
    </row>
    <row r="38" s="1" customFormat="1" ht="18.75" customHeight="1" spans="1:5">
      <c r="A38" s="10">
        <v>32</v>
      </c>
      <c r="B38" s="18" t="s">
        <v>102</v>
      </c>
      <c r="C38" s="4" t="s">
        <v>94</v>
      </c>
      <c r="D38" s="10" t="s">
        <v>344</v>
      </c>
      <c r="E38" s="811">
        <v>64800</v>
      </c>
    </row>
    <row r="39" ht="18.75" customHeight="1" spans="1:5">
      <c r="A39" s="10">
        <v>33</v>
      </c>
      <c r="B39" s="18" t="s">
        <v>103</v>
      </c>
      <c r="C39" s="12" t="s">
        <v>104</v>
      </c>
      <c r="D39" s="15" t="s">
        <v>108</v>
      </c>
      <c r="E39" s="811">
        <v>64800</v>
      </c>
    </row>
    <row r="40" ht="18.75" customHeight="1" spans="1:5">
      <c r="A40" s="10">
        <v>34</v>
      </c>
      <c r="B40" s="18" t="s">
        <v>106</v>
      </c>
      <c r="C40" s="12" t="s">
        <v>107</v>
      </c>
      <c r="D40" s="15" t="s">
        <v>111</v>
      </c>
      <c r="E40" s="813">
        <v>64800</v>
      </c>
    </row>
    <row r="41" s="1" customFormat="1" customHeight="1" spans="1:5">
      <c r="A41" s="10">
        <v>35</v>
      </c>
      <c r="B41" s="18" t="s">
        <v>109</v>
      </c>
      <c r="C41" s="12" t="s">
        <v>110</v>
      </c>
      <c r="D41" s="15" t="s">
        <v>276</v>
      </c>
      <c r="E41" s="811">
        <v>64800</v>
      </c>
    </row>
    <row r="42" s="1" customFormat="1" customHeight="1" spans="1:5">
      <c r="A42" s="10">
        <v>36</v>
      </c>
      <c r="B42" s="18" t="s">
        <v>112</v>
      </c>
      <c r="C42" s="12" t="s">
        <v>113</v>
      </c>
      <c r="D42" s="15" t="s">
        <v>276</v>
      </c>
      <c r="E42" s="811">
        <v>64800</v>
      </c>
    </row>
    <row r="43" s="1" customFormat="1" customHeight="1" spans="1:5">
      <c r="A43" s="10">
        <v>37</v>
      </c>
      <c r="B43" s="18" t="s">
        <v>114</v>
      </c>
      <c r="C43" s="12" t="s">
        <v>113</v>
      </c>
      <c r="D43" s="15" t="s">
        <v>276</v>
      </c>
      <c r="E43" s="811">
        <v>64800</v>
      </c>
    </row>
    <row r="44" s="1" customFormat="1" customHeight="1" spans="1:5">
      <c r="A44" s="10">
        <v>38</v>
      </c>
      <c r="B44" s="18" t="s">
        <v>115</v>
      </c>
      <c r="C44" s="12" t="s">
        <v>116</v>
      </c>
      <c r="D44" s="15" t="s">
        <v>276</v>
      </c>
      <c r="E44" s="811">
        <v>64800</v>
      </c>
    </row>
    <row r="45" s="1" customFormat="1" customHeight="1" spans="1:5">
      <c r="A45" s="10">
        <v>39</v>
      </c>
      <c r="B45" s="18" t="s">
        <v>117</v>
      </c>
      <c r="C45" s="12" t="s">
        <v>113</v>
      </c>
      <c r="D45" s="15" t="s">
        <v>276</v>
      </c>
      <c r="E45" s="811">
        <v>64800</v>
      </c>
    </row>
    <row r="46" s="1" customFormat="1" customHeight="1" spans="1:5">
      <c r="A46" s="10">
        <v>40</v>
      </c>
      <c r="B46" s="18" t="s">
        <v>118</v>
      </c>
      <c r="C46" s="12" t="s">
        <v>119</v>
      </c>
      <c r="D46" s="15" t="s">
        <v>276</v>
      </c>
      <c r="E46" s="811">
        <v>64800</v>
      </c>
    </row>
    <row r="47" ht="26.25" customHeight="1" spans="1:5">
      <c r="A47" s="10"/>
      <c r="B47" s="20" t="s">
        <v>120</v>
      </c>
      <c r="C47" s="21">
        <v>40</v>
      </c>
      <c r="D47" s="15"/>
      <c r="E47" s="812">
        <f>SUM(E7:E46)</f>
        <v>4579200</v>
      </c>
    </row>
    <row r="48" ht="18.75" customHeight="1" spans="1:5">
      <c r="A48" s="10"/>
      <c r="B48" s="22"/>
      <c r="C48" s="4"/>
      <c r="D48" s="15"/>
      <c r="E48" s="812"/>
    </row>
    <row r="49" ht="18.75" customHeight="1" spans="1:5">
      <c r="A49" s="10"/>
      <c r="B49" s="20" t="s">
        <v>121</v>
      </c>
      <c r="C49" s="4"/>
      <c r="D49" s="15"/>
      <c r="E49" s="811"/>
    </row>
    <row r="50" ht="18.75" customHeight="1" spans="1:5">
      <c r="A50" s="10">
        <v>1</v>
      </c>
      <c r="B50" s="18" t="s">
        <v>122</v>
      </c>
      <c r="C50" s="4" t="s">
        <v>123</v>
      </c>
      <c r="D50" s="10" t="s">
        <v>124</v>
      </c>
      <c r="E50" s="811">
        <v>324000</v>
      </c>
    </row>
    <row r="51" customHeight="1" spans="1:5">
      <c r="A51" s="10">
        <v>2</v>
      </c>
      <c r="B51" s="11" t="s">
        <v>125</v>
      </c>
      <c r="C51" s="12" t="s">
        <v>126</v>
      </c>
      <c r="D51" s="15" t="s">
        <v>41</v>
      </c>
      <c r="E51" s="811">
        <v>151200</v>
      </c>
    </row>
    <row r="52" ht="18.75" customHeight="1" spans="1:5">
      <c r="A52" s="10">
        <v>3</v>
      </c>
      <c r="B52" s="18" t="s">
        <v>127</v>
      </c>
      <c r="C52" s="4" t="s">
        <v>128</v>
      </c>
      <c r="D52" s="10" t="s">
        <v>74</v>
      </c>
      <c r="E52" s="811">
        <v>81600</v>
      </c>
    </row>
    <row r="53" ht="18.75" customHeight="1" spans="1:5">
      <c r="A53" s="10">
        <v>4</v>
      </c>
      <c r="B53" s="11" t="s">
        <v>129</v>
      </c>
      <c r="C53" s="4" t="s">
        <v>130</v>
      </c>
      <c r="D53" s="15" t="s">
        <v>504</v>
      </c>
      <c r="E53" s="811">
        <v>81600</v>
      </c>
    </row>
    <row r="54" s="1" customFormat="1" customHeight="1" spans="1:5">
      <c r="A54" s="10">
        <v>5</v>
      </c>
      <c r="B54" s="18" t="s">
        <v>132</v>
      </c>
      <c r="C54" s="4" t="s">
        <v>128</v>
      </c>
      <c r="D54" s="15" t="s">
        <v>344</v>
      </c>
      <c r="E54" s="811">
        <v>64800</v>
      </c>
    </row>
    <row r="55" ht="18.75" customHeight="1" spans="1:5">
      <c r="A55" s="10">
        <v>6</v>
      </c>
      <c r="B55" s="11" t="s">
        <v>133</v>
      </c>
      <c r="C55" s="4" t="s">
        <v>134</v>
      </c>
      <c r="D55" s="15" t="s">
        <v>99</v>
      </c>
      <c r="E55" s="811">
        <v>64800</v>
      </c>
    </row>
    <row r="56" s="1" customFormat="1" customHeight="1" spans="1:5">
      <c r="A56" s="10">
        <v>7</v>
      </c>
      <c r="B56" s="18" t="s">
        <v>135</v>
      </c>
      <c r="C56" s="12" t="s">
        <v>136</v>
      </c>
      <c r="D56" s="15" t="s">
        <v>276</v>
      </c>
      <c r="E56" s="811">
        <v>64800</v>
      </c>
    </row>
    <row r="57" ht="19.5" customHeight="1" spans="1:5">
      <c r="A57" s="10"/>
      <c r="B57" s="14"/>
      <c r="C57" s="21">
        <v>7</v>
      </c>
      <c r="D57" s="10"/>
      <c r="E57" s="812">
        <f>SUM(E50:E56)</f>
        <v>832800</v>
      </c>
    </row>
    <row r="58" customHeight="1" spans="1:5">
      <c r="A58" s="10"/>
      <c r="B58" s="14"/>
      <c r="C58" s="4"/>
      <c r="D58" s="10"/>
      <c r="E58" s="812"/>
    </row>
    <row r="59" customHeight="1" spans="1:5">
      <c r="A59" s="10"/>
      <c r="B59" s="23" t="s">
        <v>137</v>
      </c>
      <c r="C59" s="5"/>
      <c r="D59" s="24"/>
      <c r="E59" s="812"/>
    </row>
    <row r="60" customHeight="1" spans="1:5">
      <c r="A60" s="10">
        <v>1</v>
      </c>
      <c r="B60" s="11" t="s">
        <v>138</v>
      </c>
      <c r="C60" s="4" t="s">
        <v>139</v>
      </c>
      <c r="D60" s="10" t="s">
        <v>505</v>
      </c>
      <c r="E60" s="811">
        <v>324000</v>
      </c>
    </row>
    <row r="61" customHeight="1" spans="1:5">
      <c r="A61" s="10">
        <v>2</v>
      </c>
      <c r="B61" s="11" t="s">
        <v>141</v>
      </c>
      <c r="C61" s="4" t="s">
        <v>142</v>
      </c>
      <c r="D61" s="10" t="s">
        <v>38</v>
      </c>
      <c r="E61" s="811">
        <v>151200</v>
      </c>
    </row>
    <row r="62" customHeight="1" spans="1:5">
      <c r="A62" s="10">
        <v>3</v>
      </c>
      <c r="B62" s="11" t="s">
        <v>143</v>
      </c>
      <c r="C62" s="4" t="s">
        <v>142</v>
      </c>
      <c r="D62" s="10" t="s">
        <v>38</v>
      </c>
      <c r="E62" s="811">
        <v>151200</v>
      </c>
    </row>
    <row r="63" customHeight="1" spans="1:5">
      <c r="A63" s="10">
        <v>4</v>
      </c>
      <c r="B63" s="11" t="s">
        <v>144</v>
      </c>
      <c r="C63" s="4" t="s">
        <v>142</v>
      </c>
      <c r="D63" s="10" t="s">
        <v>49</v>
      </c>
      <c r="E63" s="811">
        <v>151200</v>
      </c>
    </row>
    <row r="64" customHeight="1" spans="1:5">
      <c r="A64" s="10">
        <v>5</v>
      </c>
      <c r="B64" s="14" t="s">
        <v>145</v>
      </c>
      <c r="C64" s="4" t="s">
        <v>142</v>
      </c>
      <c r="D64" s="10" t="s">
        <v>41</v>
      </c>
      <c r="E64" s="811">
        <v>151200</v>
      </c>
    </row>
    <row r="65" customFormat="1" customHeight="1" spans="1:5">
      <c r="A65" s="10">
        <v>6</v>
      </c>
      <c r="B65" s="14" t="s">
        <v>146</v>
      </c>
      <c r="C65" s="4" t="s">
        <v>142</v>
      </c>
      <c r="D65" s="10" t="s">
        <v>41</v>
      </c>
      <c r="E65" s="811">
        <v>151200</v>
      </c>
    </row>
    <row r="66" s="1" customFormat="1" customHeight="1" spans="1:5">
      <c r="A66" s="10">
        <v>7</v>
      </c>
      <c r="B66" s="18" t="s">
        <v>147</v>
      </c>
      <c r="C66" s="4" t="s">
        <v>148</v>
      </c>
      <c r="D66" s="15" t="s">
        <v>504</v>
      </c>
      <c r="E66" s="816">
        <v>81600</v>
      </c>
    </row>
    <row r="67" customHeight="1" spans="1:5">
      <c r="A67" s="10">
        <v>8</v>
      </c>
      <c r="B67" s="11" t="s">
        <v>149</v>
      </c>
      <c r="C67" s="4" t="s">
        <v>150</v>
      </c>
      <c r="D67" s="10" t="s">
        <v>77</v>
      </c>
      <c r="E67" s="816">
        <v>81600</v>
      </c>
    </row>
    <row r="68" s="1" customFormat="1" customHeight="1" spans="1:5">
      <c r="A68" s="10">
        <v>9</v>
      </c>
      <c r="B68" s="11" t="s">
        <v>152</v>
      </c>
      <c r="C68" s="4" t="s">
        <v>82</v>
      </c>
      <c r="D68" s="10" t="s">
        <v>80</v>
      </c>
      <c r="E68" s="816">
        <v>81600</v>
      </c>
    </row>
    <row r="69" customHeight="1" spans="1:5">
      <c r="A69" s="10">
        <v>10</v>
      </c>
      <c r="B69" s="11" t="s">
        <v>153</v>
      </c>
      <c r="C69" s="4" t="s">
        <v>150</v>
      </c>
      <c r="D69" s="10" t="s">
        <v>88</v>
      </c>
      <c r="E69" s="811">
        <v>64800</v>
      </c>
    </row>
    <row r="70" customHeight="1" spans="1:5">
      <c r="A70" s="10">
        <v>11</v>
      </c>
      <c r="B70" s="11" t="s">
        <v>154</v>
      </c>
      <c r="C70" s="4" t="s">
        <v>150</v>
      </c>
      <c r="D70" s="10" t="s">
        <v>88</v>
      </c>
      <c r="E70" s="811">
        <v>64800</v>
      </c>
    </row>
    <row r="71" s="1" customFormat="1" ht="18.75" customHeight="1" spans="1:5">
      <c r="A71" s="10">
        <v>12</v>
      </c>
      <c r="B71" s="18" t="s">
        <v>155</v>
      </c>
      <c r="C71" s="4" t="s">
        <v>150</v>
      </c>
      <c r="D71" s="10" t="s">
        <v>344</v>
      </c>
      <c r="E71" s="811">
        <v>64800</v>
      </c>
    </row>
    <row r="72" ht="25.5" customHeight="1" spans="1:5">
      <c r="A72" s="10"/>
      <c r="B72" s="20" t="s">
        <v>120</v>
      </c>
      <c r="C72" s="21">
        <v>12</v>
      </c>
      <c r="D72" s="21"/>
      <c r="E72" s="814">
        <f>SUM(E60:E71)</f>
        <v>1519200</v>
      </c>
    </row>
    <row r="73" customHeight="1" spans="1:5">
      <c r="A73" s="10"/>
      <c r="B73" s="22"/>
      <c r="C73" s="21"/>
      <c r="D73" s="21"/>
      <c r="E73" s="815"/>
    </row>
    <row r="74" customHeight="1" spans="1:5">
      <c r="A74" s="10"/>
      <c r="B74" s="20" t="s">
        <v>156</v>
      </c>
      <c r="C74" s="21"/>
      <c r="D74" s="21"/>
      <c r="E74" s="815"/>
    </row>
    <row r="75" customHeight="1" spans="1:5">
      <c r="A75" s="10">
        <v>1</v>
      </c>
      <c r="B75" s="11" t="s">
        <v>157</v>
      </c>
      <c r="C75" s="12" t="s">
        <v>158</v>
      </c>
      <c r="D75" s="15" t="s">
        <v>124</v>
      </c>
      <c r="E75" s="811">
        <v>324000</v>
      </c>
    </row>
    <row r="76" customHeight="1" spans="1:5">
      <c r="A76" s="10">
        <v>2</v>
      </c>
      <c r="B76" s="11" t="s">
        <v>159</v>
      </c>
      <c r="C76" s="12" t="s">
        <v>160</v>
      </c>
      <c r="D76" s="15" t="s">
        <v>161</v>
      </c>
      <c r="E76" s="811">
        <v>151200</v>
      </c>
    </row>
    <row r="77" customHeight="1" spans="1:5">
      <c r="A77" s="10"/>
      <c r="B77" s="20" t="s">
        <v>120</v>
      </c>
      <c r="C77" s="21">
        <v>2</v>
      </c>
      <c r="D77" s="21"/>
      <c r="E77" s="814">
        <f>SUM(E75:E76)</f>
        <v>475200</v>
      </c>
    </row>
    <row r="78" customHeight="1" spans="1:5">
      <c r="A78" s="10"/>
      <c r="B78" s="20"/>
      <c r="C78" s="21"/>
      <c r="D78" s="21"/>
      <c r="E78" s="815"/>
    </row>
    <row r="79" customHeight="1" spans="1:5">
      <c r="A79" s="10"/>
      <c r="B79" s="20" t="s">
        <v>162</v>
      </c>
      <c r="C79" s="21"/>
      <c r="D79" s="21"/>
      <c r="E79" s="815"/>
    </row>
    <row r="80" customHeight="1" spans="1:5">
      <c r="A80" s="10">
        <v>1</v>
      </c>
      <c r="B80" s="14" t="s">
        <v>163</v>
      </c>
      <c r="C80" s="4" t="s">
        <v>164</v>
      </c>
      <c r="D80" s="10" t="s">
        <v>35</v>
      </c>
      <c r="E80" s="811">
        <v>216000</v>
      </c>
    </row>
    <row r="81" customHeight="1" spans="1:5">
      <c r="A81" s="10">
        <v>2</v>
      </c>
      <c r="B81" s="11" t="s">
        <v>165</v>
      </c>
      <c r="C81" s="4" t="s">
        <v>51</v>
      </c>
      <c r="D81" s="10" t="s">
        <v>212</v>
      </c>
      <c r="E81" s="811">
        <v>108000</v>
      </c>
    </row>
    <row r="82" s="1" customFormat="1" customHeight="1" spans="1:5">
      <c r="A82" s="10">
        <v>3</v>
      </c>
      <c r="B82" s="18" t="s">
        <v>166</v>
      </c>
      <c r="C82" s="17" t="s">
        <v>167</v>
      </c>
      <c r="D82" s="15" t="s">
        <v>66</v>
      </c>
      <c r="E82" s="811">
        <v>108000</v>
      </c>
    </row>
    <row r="83" s="1" customFormat="1" customHeight="1" spans="1:5">
      <c r="A83" s="10">
        <v>4</v>
      </c>
      <c r="B83" s="18" t="s">
        <v>168</v>
      </c>
      <c r="C83" s="17" t="s">
        <v>167</v>
      </c>
      <c r="D83" s="15" t="s">
        <v>66</v>
      </c>
      <c r="E83" s="811">
        <v>108000</v>
      </c>
    </row>
    <row r="84" customHeight="1" spans="1:5">
      <c r="A84" s="10">
        <v>5</v>
      </c>
      <c r="B84" s="11" t="s">
        <v>169</v>
      </c>
      <c r="C84" s="4" t="s">
        <v>150</v>
      </c>
      <c r="D84" s="10" t="s">
        <v>69</v>
      </c>
      <c r="E84" s="811">
        <v>81600</v>
      </c>
    </row>
    <row r="85" customHeight="1" spans="1:5">
      <c r="A85" s="10">
        <v>6</v>
      </c>
      <c r="B85" s="11" t="s">
        <v>171</v>
      </c>
      <c r="C85" s="17" t="s">
        <v>71</v>
      </c>
      <c r="D85" s="10" t="s">
        <v>69</v>
      </c>
      <c r="E85" s="811">
        <v>81600</v>
      </c>
    </row>
    <row r="86" customHeight="1" spans="1:5">
      <c r="A86" s="10">
        <v>7</v>
      </c>
      <c r="B86" s="11" t="s">
        <v>172</v>
      </c>
      <c r="C86" s="17" t="s">
        <v>71</v>
      </c>
      <c r="D86" s="10" t="s">
        <v>69</v>
      </c>
      <c r="E86" s="811">
        <v>81600</v>
      </c>
    </row>
    <row r="87" customHeight="1" spans="1:5">
      <c r="A87" s="10">
        <v>8</v>
      </c>
      <c r="B87" s="11" t="s">
        <v>173</v>
      </c>
      <c r="C87" s="4" t="s">
        <v>174</v>
      </c>
      <c r="D87" s="15" t="s">
        <v>66</v>
      </c>
      <c r="E87" s="811">
        <v>108000</v>
      </c>
    </row>
    <row r="88" s="1" customFormat="1" customHeight="1" spans="1:5">
      <c r="A88" s="10">
        <v>9</v>
      </c>
      <c r="B88" s="14" t="s">
        <v>175</v>
      </c>
      <c r="C88" s="17" t="s">
        <v>176</v>
      </c>
      <c r="D88" s="10" t="s">
        <v>504</v>
      </c>
      <c r="E88" s="811">
        <v>81600</v>
      </c>
    </row>
    <row r="89" ht="21.6" customHeight="1" spans="1:5">
      <c r="A89" s="10">
        <v>10</v>
      </c>
      <c r="B89" s="11" t="s">
        <v>177</v>
      </c>
      <c r="C89" s="4" t="s">
        <v>150</v>
      </c>
      <c r="D89" s="10" t="s">
        <v>77</v>
      </c>
      <c r="E89" s="811">
        <v>81600</v>
      </c>
    </row>
    <row r="90" s="1" customFormat="1" ht="18.75" customHeight="1" spans="1:5">
      <c r="A90" s="10">
        <v>11</v>
      </c>
      <c r="B90" s="18" t="s">
        <v>178</v>
      </c>
      <c r="C90" s="4" t="s">
        <v>179</v>
      </c>
      <c r="D90" s="10" t="s">
        <v>344</v>
      </c>
      <c r="E90" s="811">
        <v>64800</v>
      </c>
    </row>
    <row r="91" ht="27" customHeight="1" spans="1:5">
      <c r="A91" s="10"/>
      <c r="B91" s="20" t="s">
        <v>120</v>
      </c>
      <c r="C91" s="21">
        <v>11</v>
      </c>
      <c r="D91" s="21"/>
      <c r="E91" s="814">
        <f>SUM(E80:E90)</f>
        <v>1120800</v>
      </c>
    </row>
    <row r="92" customHeight="1" spans="1:5">
      <c r="A92" s="10"/>
      <c r="B92" s="22"/>
      <c r="C92" s="21"/>
      <c r="D92" s="21"/>
      <c r="E92" s="815"/>
    </row>
    <row r="93" customHeight="1" spans="1:5">
      <c r="A93" s="10"/>
      <c r="B93" s="20" t="s">
        <v>180</v>
      </c>
      <c r="C93" s="21"/>
      <c r="D93" s="21"/>
      <c r="E93" s="815"/>
    </row>
    <row r="94" customHeight="1" spans="1:5">
      <c r="A94" s="10">
        <v>1</v>
      </c>
      <c r="B94" s="11" t="s">
        <v>181</v>
      </c>
      <c r="C94" s="4" t="s">
        <v>182</v>
      </c>
      <c r="D94" s="10" t="s">
        <v>124</v>
      </c>
      <c r="E94" s="811">
        <v>324000</v>
      </c>
    </row>
    <row r="95" customHeight="1" spans="1:5">
      <c r="A95" s="10">
        <v>2</v>
      </c>
      <c r="B95" s="11" t="s">
        <v>183</v>
      </c>
      <c r="C95" s="4" t="s">
        <v>184</v>
      </c>
      <c r="D95" s="10" t="s">
        <v>41</v>
      </c>
      <c r="E95" s="811">
        <v>151200</v>
      </c>
    </row>
    <row r="96" customHeight="1" spans="1:5">
      <c r="A96" s="10">
        <v>3</v>
      </c>
      <c r="B96" s="11" t="s">
        <v>185</v>
      </c>
      <c r="C96" s="4" t="s">
        <v>186</v>
      </c>
      <c r="D96" s="10" t="s">
        <v>41</v>
      </c>
      <c r="E96" s="811">
        <v>151200</v>
      </c>
    </row>
    <row r="97" customHeight="1" spans="1:5">
      <c r="A97" s="10">
        <v>4</v>
      </c>
      <c r="B97" s="11" t="s">
        <v>187</v>
      </c>
      <c r="C97" s="4" t="s">
        <v>188</v>
      </c>
      <c r="D97" s="15" t="s">
        <v>46</v>
      </c>
      <c r="E97" s="811">
        <v>108000</v>
      </c>
    </row>
    <row r="98" customHeight="1" spans="1:5">
      <c r="A98" s="10">
        <v>5</v>
      </c>
      <c r="B98" s="11" t="s">
        <v>190</v>
      </c>
      <c r="C98" s="12" t="s">
        <v>191</v>
      </c>
      <c r="D98" s="15" t="s">
        <v>66</v>
      </c>
      <c r="E98" s="811">
        <v>108000</v>
      </c>
    </row>
    <row r="99" s="1" customFormat="1" customHeight="1" spans="1:5">
      <c r="A99" s="10">
        <v>6</v>
      </c>
      <c r="B99" s="11" t="s">
        <v>192</v>
      </c>
      <c r="C99" s="4" t="s">
        <v>193</v>
      </c>
      <c r="D99" s="15" t="s">
        <v>66</v>
      </c>
      <c r="E99" s="811">
        <v>108000</v>
      </c>
    </row>
    <row r="100" customHeight="1" spans="1:5">
      <c r="A100" s="10">
        <v>7</v>
      </c>
      <c r="B100" s="11" t="s">
        <v>194</v>
      </c>
      <c r="C100" s="4" t="s">
        <v>195</v>
      </c>
      <c r="D100" s="10" t="s">
        <v>131</v>
      </c>
      <c r="E100" s="811">
        <v>81600</v>
      </c>
    </row>
    <row r="101" s="1" customFormat="1" customHeight="1" spans="1:5">
      <c r="A101" s="10">
        <v>8</v>
      </c>
      <c r="B101" s="11" t="s">
        <v>196</v>
      </c>
      <c r="C101" s="4" t="s">
        <v>197</v>
      </c>
      <c r="D101" s="10" t="s">
        <v>80</v>
      </c>
      <c r="E101" s="811">
        <v>81600</v>
      </c>
    </row>
    <row r="102" customHeight="1" spans="1:5">
      <c r="A102" s="10">
        <v>9</v>
      </c>
      <c r="B102" s="11" t="s">
        <v>198</v>
      </c>
      <c r="C102" s="4" t="s">
        <v>179</v>
      </c>
      <c r="D102" s="10" t="s">
        <v>99</v>
      </c>
      <c r="E102" s="811">
        <v>64800</v>
      </c>
    </row>
    <row r="103" s="1" customFormat="1" ht="18.75" customHeight="1" spans="1:5">
      <c r="A103" s="10">
        <v>10</v>
      </c>
      <c r="B103" s="18" t="s">
        <v>199</v>
      </c>
      <c r="C103" s="4" t="s">
        <v>179</v>
      </c>
      <c r="D103" s="10" t="s">
        <v>344</v>
      </c>
      <c r="E103" s="811">
        <v>64800</v>
      </c>
    </row>
    <row r="104" customHeight="1" spans="1:5">
      <c r="A104" s="10">
        <v>11</v>
      </c>
      <c r="B104" s="11" t="s">
        <v>200</v>
      </c>
      <c r="C104" s="4" t="s">
        <v>201</v>
      </c>
      <c r="D104" s="10" t="s">
        <v>108</v>
      </c>
      <c r="E104" s="811">
        <v>64800</v>
      </c>
    </row>
    <row r="105" customHeight="1" spans="1:5">
      <c r="A105" s="10"/>
      <c r="B105" s="20" t="s">
        <v>120</v>
      </c>
      <c r="C105" s="21">
        <v>11</v>
      </c>
      <c r="D105" s="21"/>
      <c r="E105" s="814">
        <f>SUM(E94:E104)</f>
        <v>1308000</v>
      </c>
    </row>
    <row r="106" customHeight="1" spans="1:5">
      <c r="A106" s="10"/>
      <c r="B106" s="20"/>
      <c r="C106" s="21"/>
      <c r="D106" s="21"/>
      <c r="E106" s="815"/>
    </row>
    <row r="107" customHeight="1" spans="1:5">
      <c r="A107" s="10"/>
      <c r="B107" s="20" t="s">
        <v>202</v>
      </c>
      <c r="C107" s="25"/>
      <c r="D107" s="21"/>
      <c r="E107" s="815"/>
    </row>
    <row r="108" customHeight="1" spans="1:5">
      <c r="A108" s="10">
        <v>1</v>
      </c>
      <c r="B108" s="11" t="s">
        <v>203</v>
      </c>
      <c r="C108" s="4" t="s">
        <v>204</v>
      </c>
      <c r="D108" s="10" t="s">
        <v>505</v>
      </c>
      <c r="E108" s="811">
        <v>324000</v>
      </c>
    </row>
    <row r="109" customHeight="1" spans="1:5">
      <c r="A109" s="10">
        <v>2</v>
      </c>
      <c r="B109" s="11" t="s">
        <v>205</v>
      </c>
      <c r="C109" s="4" t="s">
        <v>206</v>
      </c>
      <c r="D109" s="10" t="s">
        <v>506</v>
      </c>
      <c r="E109" s="811">
        <v>216000</v>
      </c>
    </row>
    <row r="110" customHeight="1" spans="1:5">
      <c r="A110" s="10">
        <v>3</v>
      </c>
      <c r="B110" s="11" t="s">
        <v>208</v>
      </c>
      <c r="C110" s="4" t="s">
        <v>142</v>
      </c>
      <c r="D110" s="10" t="s">
        <v>49</v>
      </c>
      <c r="E110" s="811">
        <v>151200</v>
      </c>
    </row>
    <row r="111" ht="21.6" customHeight="1" spans="1:5">
      <c r="A111" s="10">
        <v>4</v>
      </c>
      <c r="B111" s="11" t="s">
        <v>209</v>
      </c>
      <c r="C111" s="4" t="s">
        <v>51</v>
      </c>
      <c r="D111" s="15" t="s">
        <v>212</v>
      </c>
      <c r="E111" s="811">
        <v>108000</v>
      </c>
    </row>
    <row r="112" ht="21.6" customHeight="1" spans="1:5">
      <c r="A112" s="10">
        <v>5</v>
      </c>
      <c r="B112" s="11" t="s">
        <v>210</v>
      </c>
      <c r="C112" s="4" t="s">
        <v>51</v>
      </c>
      <c r="D112" s="15" t="s">
        <v>212</v>
      </c>
      <c r="E112" s="811">
        <v>108000</v>
      </c>
    </row>
    <row r="113" ht="21.6" customHeight="1" spans="1:5">
      <c r="A113" s="10">
        <v>6</v>
      </c>
      <c r="B113" s="11" t="s">
        <v>211</v>
      </c>
      <c r="C113" s="12" t="s">
        <v>51</v>
      </c>
      <c r="D113" s="15" t="s">
        <v>52</v>
      </c>
      <c r="E113" s="811">
        <v>108000</v>
      </c>
    </row>
    <row r="114" ht="21.6" customHeight="1" spans="1:5">
      <c r="A114" s="10">
        <v>7</v>
      </c>
      <c r="B114" s="11" t="s">
        <v>213</v>
      </c>
      <c r="C114" s="17" t="s">
        <v>71</v>
      </c>
      <c r="D114" s="15" t="s">
        <v>69</v>
      </c>
      <c r="E114" s="811">
        <v>81600</v>
      </c>
    </row>
    <row r="115" ht="21.6" customHeight="1" spans="1:5">
      <c r="A115" s="10">
        <v>8</v>
      </c>
      <c r="B115" s="11" t="s">
        <v>214</v>
      </c>
      <c r="C115" s="17" t="s">
        <v>167</v>
      </c>
      <c r="D115" s="15" t="s">
        <v>63</v>
      </c>
      <c r="E115" s="811">
        <v>108000</v>
      </c>
    </row>
    <row r="116" s="1" customFormat="1" customHeight="1" spans="1:5">
      <c r="A116" s="10">
        <v>9</v>
      </c>
      <c r="B116" s="18" t="s">
        <v>216</v>
      </c>
      <c r="C116" s="4" t="s">
        <v>148</v>
      </c>
      <c r="D116" s="15" t="s">
        <v>504</v>
      </c>
      <c r="E116" s="816">
        <v>81600</v>
      </c>
    </row>
    <row r="117" ht="21.6" customHeight="1" spans="1:5">
      <c r="A117" s="10">
        <v>10</v>
      </c>
      <c r="B117" s="11" t="s">
        <v>217</v>
      </c>
      <c r="C117" s="4" t="s">
        <v>218</v>
      </c>
      <c r="D117" s="10" t="s">
        <v>77</v>
      </c>
      <c r="E117" s="816">
        <v>81600</v>
      </c>
    </row>
    <row r="118" s="1" customFormat="1" ht="18.75" customHeight="1" spans="1:5">
      <c r="A118" s="10">
        <v>11</v>
      </c>
      <c r="B118" s="18" t="s">
        <v>219</v>
      </c>
      <c r="C118" s="4" t="s">
        <v>150</v>
      </c>
      <c r="D118" s="10" t="s">
        <v>344</v>
      </c>
      <c r="E118" s="811">
        <v>64800</v>
      </c>
    </row>
    <row r="119" s="1" customFormat="1" ht="18.75" customHeight="1" spans="1:5">
      <c r="A119" s="10">
        <v>12</v>
      </c>
      <c r="B119" s="18" t="s">
        <v>220</v>
      </c>
      <c r="C119" s="4" t="s">
        <v>150</v>
      </c>
      <c r="D119" s="10" t="s">
        <v>344</v>
      </c>
      <c r="E119" s="811">
        <v>64800</v>
      </c>
    </row>
    <row r="120" ht="21.6" customHeight="1" spans="1:5">
      <c r="A120" s="10">
        <v>13</v>
      </c>
      <c r="B120" s="11" t="s">
        <v>221</v>
      </c>
      <c r="C120" s="17" t="s">
        <v>222</v>
      </c>
      <c r="D120" s="15" t="s">
        <v>105</v>
      </c>
      <c r="E120" s="811">
        <v>64800</v>
      </c>
    </row>
    <row r="121" customHeight="1" spans="1:5">
      <c r="A121" s="10"/>
      <c r="B121" s="20" t="s">
        <v>120</v>
      </c>
      <c r="C121" s="21">
        <v>13</v>
      </c>
      <c r="D121" s="21"/>
      <c r="E121" s="814">
        <f>SUM(E108:E120)</f>
        <v>1562400</v>
      </c>
    </row>
    <row r="122" customHeight="1" spans="1:5">
      <c r="A122" s="10"/>
      <c r="B122" s="22"/>
      <c r="C122" s="21"/>
      <c r="D122" s="21"/>
      <c r="E122" s="815"/>
    </row>
    <row r="123" customHeight="1" spans="1:5">
      <c r="A123" s="10"/>
      <c r="B123" s="20" t="s">
        <v>224</v>
      </c>
      <c r="C123" s="21"/>
      <c r="D123" s="21"/>
      <c r="E123" s="815"/>
    </row>
    <row r="124" customHeight="1" spans="1:5">
      <c r="A124" s="10">
        <v>1</v>
      </c>
      <c r="B124" s="14" t="s">
        <v>225</v>
      </c>
      <c r="C124" s="4" t="s">
        <v>226</v>
      </c>
      <c r="D124" s="16" t="s">
        <v>140</v>
      </c>
      <c r="E124" s="811">
        <v>324000</v>
      </c>
    </row>
    <row r="125" customHeight="1" spans="1:5">
      <c r="A125" s="10">
        <v>2</v>
      </c>
      <c r="B125" s="11" t="s">
        <v>227</v>
      </c>
      <c r="C125" s="4" t="s">
        <v>228</v>
      </c>
      <c r="D125" s="15" t="s">
        <v>46</v>
      </c>
      <c r="E125" s="811">
        <v>108000</v>
      </c>
    </row>
    <row r="126" customHeight="1" spans="1:5">
      <c r="A126" s="10">
        <v>3</v>
      </c>
      <c r="B126" s="11" t="s">
        <v>229</v>
      </c>
      <c r="C126" s="12" t="s">
        <v>230</v>
      </c>
      <c r="D126" s="15" t="s">
        <v>63</v>
      </c>
      <c r="E126" s="811">
        <v>108000</v>
      </c>
    </row>
    <row r="127" s="1" customFormat="1" customHeight="1" spans="1:5">
      <c r="A127" s="10">
        <v>4</v>
      </c>
      <c r="B127" s="11" t="s">
        <v>231</v>
      </c>
      <c r="C127" s="4" t="s">
        <v>232</v>
      </c>
      <c r="D127" s="15" t="s">
        <v>66</v>
      </c>
      <c r="E127" s="811">
        <v>108000</v>
      </c>
    </row>
    <row r="128" customHeight="1" spans="1:5">
      <c r="A128" s="10">
        <v>5</v>
      </c>
      <c r="B128" s="11" t="s">
        <v>233</v>
      </c>
      <c r="C128" s="4" t="s">
        <v>232</v>
      </c>
      <c r="D128" s="15" t="s">
        <v>66</v>
      </c>
      <c r="E128" s="811">
        <v>108000</v>
      </c>
    </row>
    <row r="129" customHeight="1" spans="1:5">
      <c r="A129" s="10">
        <v>6</v>
      </c>
      <c r="B129" s="11" t="s">
        <v>234</v>
      </c>
      <c r="C129" s="4" t="s">
        <v>197</v>
      </c>
      <c r="D129" s="15" t="s">
        <v>77</v>
      </c>
      <c r="E129" s="816">
        <v>81600</v>
      </c>
    </row>
    <row r="130" s="1" customFormat="1" customHeight="1" spans="1:5">
      <c r="A130" s="10">
        <v>7</v>
      </c>
      <c r="B130" s="18" t="s">
        <v>235</v>
      </c>
      <c r="C130" s="12" t="s">
        <v>236</v>
      </c>
      <c r="D130" s="15" t="s">
        <v>80</v>
      </c>
      <c r="E130" s="816">
        <v>81600</v>
      </c>
    </row>
    <row r="131" customHeight="1" spans="1:5">
      <c r="A131" s="4"/>
      <c r="B131" s="20" t="s">
        <v>120</v>
      </c>
      <c r="C131" s="21">
        <v>7</v>
      </c>
      <c r="D131" s="26"/>
      <c r="E131" s="814">
        <f>SUM(E124:E130)</f>
        <v>919200</v>
      </c>
    </row>
    <row r="132" customHeight="1" spans="1:5">
      <c r="A132" s="4"/>
      <c r="B132" s="22"/>
      <c r="C132" s="21"/>
      <c r="D132" s="26"/>
      <c r="E132" s="815"/>
    </row>
    <row r="133" customHeight="1" spans="1:5">
      <c r="A133" s="4"/>
      <c r="B133" s="20" t="s">
        <v>237</v>
      </c>
      <c r="C133" s="4"/>
      <c r="D133" s="4"/>
      <c r="E133" s="817"/>
    </row>
    <row r="134" customHeight="1" spans="1:5">
      <c r="A134" s="4">
        <v>1</v>
      </c>
      <c r="B134" s="11" t="s">
        <v>238</v>
      </c>
      <c r="C134" s="12" t="s">
        <v>239</v>
      </c>
      <c r="D134" s="15" t="s">
        <v>124</v>
      </c>
      <c r="E134" s="811">
        <v>324000</v>
      </c>
    </row>
    <row r="135" customHeight="1" spans="1:5">
      <c r="A135" s="4">
        <v>2</v>
      </c>
      <c r="B135" s="11" t="s">
        <v>240</v>
      </c>
      <c r="C135" s="4" t="s">
        <v>241</v>
      </c>
      <c r="D135" s="16" t="s">
        <v>35</v>
      </c>
      <c r="E135" s="811">
        <v>216000</v>
      </c>
    </row>
    <row r="136" customHeight="1" spans="1:5">
      <c r="A136" s="4">
        <v>3</v>
      </c>
      <c r="B136" s="11" t="s">
        <v>242</v>
      </c>
      <c r="C136" s="4" t="s">
        <v>243</v>
      </c>
      <c r="D136" s="10" t="s">
        <v>501</v>
      </c>
      <c r="E136" s="811">
        <v>108000</v>
      </c>
    </row>
    <row r="137" customHeight="1" spans="1:5">
      <c r="A137" s="4">
        <v>4</v>
      </c>
      <c r="B137" s="11" t="s">
        <v>244</v>
      </c>
      <c r="C137" s="4" t="s">
        <v>243</v>
      </c>
      <c r="D137" s="10" t="s">
        <v>501</v>
      </c>
      <c r="E137" s="811">
        <v>108000</v>
      </c>
    </row>
    <row r="138" s="1" customFormat="1" customHeight="1" spans="1:5">
      <c r="A138" s="4">
        <v>5</v>
      </c>
      <c r="B138" s="18" t="s">
        <v>245</v>
      </c>
      <c r="C138" s="4" t="s">
        <v>246</v>
      </c>
      <c r="D138" s="15" t="s">
        <v>504</v>
      </c>
      <c r="E138" s="816">
        <v>81600</v>
      </c>
    </row>
    <row r="139" customHeight="1" spans="1:5">
      <c r="A139" s="4">
        <v>6</v>
      </c>
      <c r="B139" s="11" t="s">
        <v>247</v>
      </c>
      <c r="C139" s="4" t="s">
        <v>248</v>
      </c>
      <c r="D139" s="15" t="s">
        <v>507</v>
      </c>
      <c r="E139" s="816">
        <v>64800</v>
      </c>
    </row>
    <row r="140" customHeight="1" spans="1:5">
      <c r="A140" s="4">
        <v>7</v>
      </c>
      <c r="B140" s="18" t="s">
        <v>250</v>
      </c>
      <c r="C140" s="4" t="s">
        <v>248</v>
      </c>
      <c r="D140" s="10" t="s">
        <v>344</v>
      </c>
      <c r="E140" s="816">
        <v>64800</v>
      </c>
    </row>
    <row r="141" customHeight="1" spans="1:5">
      <c r="A141" s="4">
        <v>8</v>
      </c>
      <c r="B141" s="18" t="s">
        <v>251</v>
      </c>
      <c r="C141" s="4" t="s">
        <v>248</v>
      </c>
      <c r="D141" s="15" t="s">
        <v>105</v>
      </c>
      <c r="E141" s="816">
        <v>64800</v>
      </c>
    </row>
    <row r="142" s="1" customFormat="1" customHeight="1" spans="1:5">
      <c r="A142" s="4">
        <v>9</v>
      </c>
      <c r="B142" s="18" t="s">
        <v>252</v>
      </c>
      <c r="C142" s="4" t="s">
        <v>248</v>
      </c>
      <c r="D142" s="15" t="s">
        <v>276</v>
      </c>
      <c r="E142" s="816">
        <v>64800</v>
      </c>
    </row>
    <row r="143" s="1" customFormat="1" customHeight="1" spans="1:5">
      <c r="A143" s="4">
        <v>10</v>
      </c>
      <c r="B143" s="18" t="s">
        <v>253</v>
      </c>
      <c r="C143" s="4" t="s">
        <v>248</v>
      </c>
      <c r="D143" s="15" t="s">
        <v>276</v>
      </c>
      <c r="E143" s="816">
        <v>64800</v>
      </c>
    </row>
    <row r="144" s="1" customFormat="1" customHeight="1" spans="1:5">
      <c r="A144" s="4">
        <v>11</v>
      </c>
      <c r="B144" s="18" t="s">
        <v>254</v>
      </c>
      <c r="C144" s="4" t="s">
        <v>248</v>
      </c>
      <c r="D144" s="15" t="s">
        <v>276</v>
      </c>
      <c r="E144" s="816">
        <v>64800</v>
      </c>
    </row>
    <row r="145" ht="25.5" customHeight="1" spans="1:5">
      <c r="A145" s="4"/>
      <c r="B145" s="20" t="s">
        <v>120</v>
      </c>
      <c r="C145" s="21">
        <v>11</v>
      </c>
      <c r="D145" s="4"/>
      <c r="E145" s="818">
        <f>SUM(E134:E144)</f>
        <v>1226400</v>
      </c>
    </row>
    <row r="146" customHeight="1" spans="1:5">
      <c r="A146" s="4"/>
      <c r="B146" s="20"/>
      <c r="C146" s="21"/>
      <c r="D146" s="4"/>
      <c r="E146" s="818"/>
    </row>
    <row r="147" customHeight="1" spans="1:5">
      <c r="A147" s="10"/>
      <c r="B147" s="20" t="s">
        <v>255</v>
      </c>
      <c r="C147" s="21"/>
      <c r="D147" s="21"/>
      <c r="E147" s="815"/>
    </row>
    <row r="148" s="1" customFormat="1" customHeight="1" spans="1:5">
      <c r="A148" s="10">
        <v>1</v>
      </c>
      <c r="B148" s="11" t="s">
        <v>256</v>
      </c>
      <c r="C148" s="17" t="s">
        <v>142</v>
      </c>
      <c r="D148" s="10" t="s">
        <v>41</v>
      </c>
      <c r="E148" s="811">
        <v>151600</v>
      </c>
    </row>
    <row r="149" ht="18.75" customHeight="1" spans="1:5">
      <c r="A149" s="10">
        <v>2</v>
      </c>
      <c r="B149" s="11" t="s">
        <v>257</v>
      </c>
      <c r="C149" s="4" t="s">
        <v>258</v>
      </c>
      <c r="D149" s="15" t="s">
        <v>170</v>
      </c>
      <c r="E149" s="811">
        <v>81600</v>
      </c>
    </row>
    <row r="150" ht="18.75" customHeight="1" spans="1:5">
      <c r="A150" s="10">
        <v>3</v>
      </c>
      <c r="B150" s="11" t="s">
        <v>260</v>
      </c>
      <c r="C150" s="4" t="s">
        <v>71</v>
      </c>
      <c r="D150" s="15" t="s">
        <v>69</v>
      </c>
      <c r="E150" s="811">
        <v>81600</v>
      </c>
    </row>
    <row r="151" s="1" customFormat="1" ht="18.75" customHeight="1" spans="1:5">
      <c r="A151" s="10">
        <v>4</v>
      </c>
      <c r="B151" s="18" t="s">
        <v>261</v>
      </c>
      <c r="C151" s="4" t="s">
        <v>150</v>
      </c>
      <c r="D151" s="10" t="s">
        <v>344</v>
      </c>
      <c r="E151" s="811">
        <v>64800</v>
      </c>
    </row>
    <row r="152" s="1" customFormat="1" ht="18.75" customHeight="1" spans="1:5">
      <c r="A152" s="10">
        <v>5</v>
      </c>
      <c r="B152" s="18" t="s">
        <v>262</v>
      </c>
      <c r="C152" s="4" t="s">
        <v>150</v>
      </c>
      <c r="D152" s="10" t="s">
        <v>344</v>
      </c>
      <c r="E152" s="811">
        <v>64800</v>
      </c>
    </row>
    <row r="153" s="1" customFormat="1" ht="18.75" customHeight="1" spans="1:5">
      <c r="A153" s="10">
        <v>6</v>
      </c>
      <c r="B153" s="18" t="s">
        <v>263</v>
      </c>
      <c r="C153" s="4" t="s">
        <v>150</v>
      </c>
      <c r="D153" s="10" t="s">
        <v>344</v>
      </c>
      <c r="E153" s="811">
        <v>64800</v>
      </c>
    </row>
    <row r="154" s="1" customFormat="1" ht="18.75" customHeight="1" spans="1:5">
      <c r="A154" s="10">
        <v>7</v>
      </c>
      <c r="B154" s="18" t="s">
        <v>264</v>
      </c>
      <c r="C154" s="4" t="s">
        <v>150</v>
      </c>
      <c r="D154" s="10" t="s">
        <v>344</v>
      </c>
      <c r="E154" s="811">
        <v>64800</v>
      </c>
    </row>
    <row r="155" s="1" customFormat="1" customHeight="1" spans="1:5">
      <c r="A155" s="10">
        <v>8</v>
      </c>
      <c r="B155" s="18" t="s">
        <v>265</v>
      </c>
      <c r="C155" s="12" t="s">
        <v>266</v>
      </c>
      <c r="D155" s="15" t="s">
        <v>276</v>
      </c>
      <c r="E155" s="811">
        <v>64800</v>
      </c>
    </row>
    <row r="156" ht="24.75" customHeight="1" spans="1:5">
      <c r="A156" s="4"/>
      <c r="B156" s="20" t="s">
        <v>120</v>
      </c>
      <c r="C156" s="21">
        <v>8</v>
      </c>
      <c r="D156" s="26"/>
      <c r="E156" s="814">
        <f>SUM(E148:E155)</f>
        <v>638800</v>
      </c>
    </row>
    <row r="157" ht="24.75" customHeight="1" spans="1:5">
      <c r="A157" s="4"/>
      <c r="B157" s="20"/>
      <c r="C157" s="21"/>
      <c r="D157" s="26"/>
      <c r="E157" s="814"/>
    </row>
    <row r="158" ht="24.75" customHeight="1" spans="1:5">
      <c r="A158" s="10"/>
      <c r="B158" s="20" t="s">
        <v>267</v>
      </c>
      <c r="C158" s="21"/>
      <c r="D158" s="21"/>
      <c r="E158" s="815"/>
    </row>
    <row r="159" s="1" customFormat="1" customHeight="1" spans="1:5">
      <c r="A159" s="4">
        <v>1</v>
      </c>
      <c r="B159" s="18" t="s">
        <v>268</v>
      </c>
      <c r="C159" s="12" t="s">
        <v>269</v>
      </c>
      <c r="D159" s="15" t="s">
        <v>80</v>
      </c>
      <c r="E159" s="811">
        <v>81600</v>
      </c>
    </row>
    <row r="160" s="1" customFormat="1" ht="18.75" customHeight="1" spans="1:5">
      <c r="A160" s="4">
        <v>2</v>
      </c>
      <c r="B160" s="18" t="s">
        <v>270</v>
      </c>
      <c r="C160" s="4" t="s">
        <v>271</v>
      </c>
      <c r="D160" s="10" t="s">
        <v>344</v>
      </c>
      <c r="E160" s="811">
        <v>64800</v>
      </c>
    </row>
    <row r="161" ht="24.75" customHeight="1" spans="1:5">
      <c r="A161" s="4">
        <v>3</v>
      </c>
      <c r="B161" s="11" t="s">
        <v>272</v>
      </c>
      <c r="C161" s="4" t="s">
        <v>273</v>
      </c>
      <c r="D161" s="10" t="s">
        <v>276</v>
      </c>
      <c r="E161" s="811">
        <v>64800</v>
      </c>
    </row>
    <row r="162" s="1" customFormat="1" customHeight="1" spans="1:5">
      <c r="A162" s="4">
        <v>4</v>
      </c>
      <c r="B162" s="18" t="s">
        <v>274</v>
      </c>
      <c r="C162" s="12" t="s">
        <v>275</v>
      </c>
      <c r="D162" s="15" t="s">
        <v>276</v>
      </c>
      <c r="E162" s="811">
        <v>64800</v>
      </c>
    </row>
    <row r="163" ht="24.75" customHeight="1" spans="1:5">
      <c r="A163" s="4">
        <v>5</v>
      </c>
      <c r="B163" s="11" t="s">
        <v>277</v>
      </c>
      <c r="C163" s="4" t="s">
        <v>278</v>
      </c>
      <c r="D163" s="10" t="s">
        <v>276</v>
      </c>
      <c r="E163" s="811">
        <v>64800</v>
      </c>
    </row>
    <row r="164" customHeight="1" spans="1:5">
      <c r="A164" s="4"/>
      <c r="B164" s="20" t="s">
        <v>120</v>
      </c>
      <c r="C164" s="21">
        <v>5</v>
      </c>
      <c r="D164" s="26"/>
      <c r="E164" s="814">
        <f>SUM(E159:E163)</f>
        <v>340800</v>
      </c>
    </row>
    <row r="165" customHeight="1" spans="1:5">
      <c r="A165" s="4"/>
      <c r="B165" s="20"/>
      <c r="C165" s="21"/>
      <c r="D165" s="26"/>
      <c r="E165" s="814"/>
    </row>
    <row r="166" customHeight="1" spans="1:5">
      <c r="A166" s="4"/>
      <c r="B166" s="20" t="s">
        <v>279</v>
      </c>
      <c r="C166" s="21"/>
      <c r="D166" s="21"/>
      <c r="E166" s="815"/>
    </row>
    <row r="167" customHeight="1" spans="1:5">
      <c r="A167" s="4">
        <v>1</v>
      </c>
      <c r="B167" s="11" t="s">
        <v>280</v>
      </c>
      <c r="C167" s="12" t="s">
        <v>281</v>
      </c>
      <c r="D167" s="15" t="s">
        <v>124</v>
      </c>
      <c r="E167" s="811">
        <v>324000</v>
      </c>
    </row>
    <row r="168" customHeight="1" spans="1:5">
      <c r="A168" s="4">
        <v>2</v>
      </c>
      <c r="B168" s="11" t="s">
        <v>282</v>
      </c>
      <c r="C168" s="12" t="s">
        <v>283</v>
      </c>
      <c r="D168" s="15" t="s">
        <v>35</v>
      </c>
      <c r="E168" s="811">
        <v>216000</v>
      </c>
    </row>
    <row r="169" customHeight="1" spans="1:5">
      <c r="A169" s="4">
        <v>3</v>
      </c>
      <c r="B169" s="14" t="s">
        <v>284</v>
      </c>
      <c r="C169" s="12" t="s">
        <v>283</v>
      </c>
      <c r="D169" s="15" t="s">
        <v>506</v>
      </c>
      <c r="E169" s="811">
        <v>216000</v>
      </c>
    </row>
    <row r="170" customHeight="1" spans="1:5">
      <c r="A170" s="4">
        <v>4</v>
      </c>
      <c r="B170" s="11" t="s">
        <v>285</v>
      </c>
      <c r="C170" s="12" t="s">
        <v>286</v>
      </c>
      <c r="D170" s="15" t="s">
        <v>41</v>
      </c>
      <c r="E170" s="811">
        <v>151200</v>
      </c>
    </row>
    <row r="171" customHeight="1" spans="1:5">
      <c r="A171" s="4">
        <v>5</v>
      </c>
      <c r="B171" s="11" t="s">
        <v>287</v>
      </c>
      <c r="C171" s="12" t="s">
        <v>286</v>
      </c>
      <c r="D171" s="15" t="s">
        <v>41</v>
      </c>
      <c r="E171" s="811">
        <v>151200</v>
      </c>
    </row>
    <row r="172" customHeight="1" spans="1:5">
      <c r="A172" s="4">
        <v>6</v>
      </c>
      <c r="B172" s="11" t="s">
        <v>288</v>
      </c>
      <c r="C172" s="12" t="s">
        <v>289</v>
      </c>
      <c r="D172" s="15" t="s">
        <v>212</v>
      </c>
      <c r="E172" s="811">
        <v>108000</v>
      </c>
    </row>
    <row r="173" customHeight="1" spans="1:5">
      <c r="A173" s="4">
        <v>7</v>
      </c>
      <c r="B173" s="11" t="s">
        <v>290</v>
      </c>
      <c r="C173" s="12" t="s">
        <v>289</v>
      </c>
      <c r="D173" s="15" t="s">
        <v>46</v>
      </c>
      <c r="E173" s="811">
        <v>108000</v>
      </c>
    </row>
    <row r="174" s="1" customFormat="1" customHeight="1" spans="1:5">
      <c r="A174" s="4">
        <v>8</v>
      </c>
      <c r="B174" s="18" t="s">
        <v>291</v>
      </c>
      <c r="C174" s="12" t="s">
        <v>292</v>
      </c>
      <c r="D174" s="15" t="s">
        <v>344</v>
      </c>
      <c r="E174" s="811">
        <v>64800</v>
      </c>
    </row>
    <row r="175" customHeight="1" spans="1:5">
      <c r="A175" s="4">
        <v>9</v>
      </c>
      <c r="B175" s="11" t="s">
        <v>293</v>
      </c>
      <c r="C175" s="4" t="s">
        <v>294</v>
      </c>
      <c r="D175" s="15" t="s">
        <v>80</v>
      </c>
      <c r="E175" s="811">
        <v>81600</v>
      </c>
    </row>
    <row r="176" customHeight="1" spans="1:5">
      <c r="A176" s="4">
        <v>10</v>
      </c>
      <c r="B176" s="18" t="s">
        <v>295</v>
      </c>
      <c r="C176" s="12" t="s">
        <v>296</v>
      </c>
      <c r="D176" s="15" t="s">
        <v>108</v>
      </c>
      <c r="E176" s="811">
        <v>64800</v>
      </c>
    </row>
    <row r="177" customHeight="1" spans="1:5">
      <c r="A177" s="4">
        <v>11</v>
      </c>
      <c r="B177" s="18" t="s">
        <v>297</v>
      </c>
      <c r="C177" s="12" t="s">
        <v>292</v>
      </c>
      <c r="D177" s="15" t="s">
        <v>108</v>
      </c>
      <c r="E177" s="811">
        <v>64800</v>
      </c>
    </row>
    <row r="178" customHeight="1" spans="1:5">
      <c r="A178" s="4">
        <v>12</v>
      </c>
      <c r="B178" s="18" t="s">
        <v>298</v>
      </c>
      <c r="C178" s="12" t="s">
        <v>296</v>
      </c>
      <c r="D178" s="15" t="s">
        <v>111</v>
      </c>
      <c r="E178" s="811">
        <v>64800</v>
      </c>
    </row>
    <row r="179" ht="28.5" customHeight="1" spans="1:5">
      <c r="A179" s="4"/>
      <c r="B179" s="20" t="s">
        <v>120</v>
      </c>
      <c r="C179" s="26" t="s">
        <v>299</v>
      </c>
      <c r="D179" s="15"/>
      <c r="E179" s="812">
        <f>SUM(E167:E178)</f>
        <v>1615200</v>
      </c>
    </row>
    <row r="180" customHeight="1" spans="1:5">
      <c r="A180" s="4"/>
      <c r="B180" s="22"/>
      <c r="C180" s="26"/>
      <c r="D180" s="15"/>
      <c r="E180" s="815"/>
    </row>
    <row r="181" customHeight="1" spans="1:5">
      <c r="A181" s="4"/>
      <c r="B181" s="20" t="s">
        <v>300</v>
      </c>
      <c r="C181" s="12"/>
      <c r="D181" s="15"/>
      <c r="E181" s="811"/>
    </row>
    <row r="182" customHeight="1" spans="1:5">
      <c r="A182" s="27">
        <v>1</v>
      </c>
      <c r="B182" s="14" t="s">
        <v>301</v>
      </c>
      <c r="C182" s="4" t="s">
        <v>302</v>
      </c>
      <c r="D182" s="10" t="s">
        <v>508</v>
      </c>
      <c r="E182" s="811">
        <v>324000</v>
      </c>
    </row>
    <row r="183" customHeight="1" spans="1:5">
      <c r="A183" s="27">
        <v>2</v>
      </c>
      <c r="B183" s="14" t="s">
        <v>304</v>
      </c>
      <c r="C183" s="4" t="s">
        <v>305</v>
      </c>
      <c r="D183" s="16" t="s">
        <v>35</v>
      </c>
      <c r="E183" s="811">
        <v>216000</v>
      </c>
    </row>
    <row r="184" customHeight="1" spans="1:5">
      <c r="A184" s="27">
        <v>3</v>
      </c>
      <c r="B184" s="11" t="s">
        <v>306</v>
      </c>
      <c r="C184" s="12" t="s">
        <v>307</v>
      </c>
      <c r="D184" s="15" t="s">
        <v>41</v>
      </c>
      <c r="E184" s="811">
        <v>151200</v>
      </c>
    </row>
    <row r="185" customHeight="1" spans="1:5">
      <c r="A185" s="27">
        <v>4</v>
      </c>
      <c r="B185" s="11" t="s">
        <v>308</v>
      </c>
      <c r="C185" s="4" t="s">
        <v>309</v>
      </c>
      <c r="D185" s="15" t="s">
        <v>41</v>
      </c>
      <c r="E185" s="811">
        <v>151201</v>
      </c>
    </row>
    <row r="186" customHeight="1" spans="1:5">
      <c r="A186" s="27">
        <v>5</v>
      </c>
      <c r="B186" s="11" t="s">
        <v>310</v>
      </c>
      <c r="C186" s="4" t="s">
        <v>309</v>
      </c>
      <c r="D186" s="15" t="s">
        <v>41</v>
      </c>
      <c r="E186" s="811">
        <v>151202</v>
      </c>
    </row>
    <row r="187" customHeight="1" spans="1:5">
      <c r="A187" s="27">
        <v>6</v>
      </c>
      <c r="B187" s="11" t="s">
        <v>311</v>
      </c>
      <c r="C187" s="4" t="s">
        <v>312</v>
      </c>
      <c r="D187" s="10" t="s">
        <v>501</v>
      </c>
      <c r="E187" s="811">
        <v>108000</v>
      </c>
    </row>
    <row r="188" customHeight="1" spans="1:5">
      <c r="A188" s="27">
        <v>7</v>
      </c>
      <c r="B188" s="11" t="s">
        <v>313</v>
      </c>
      <c r="C188" s="12" t="s">
        <v>230</v>
      </c>
      <c r="D188" s="15" t="s">
        <v>66</v>
      </c>
      <c r="E188" s="811">
        <v>108000</v>
      </c>
    </row>
    <row r="189" customHeight="1" spans="1:5">
      <c r="A189" s="27">
        <v>8</v>
      </c>
      <c r="B189" s="11" t="s">
        <v>314</v>
      </c>
      <c r="C189" s="4" t="s">
        <v>315</v>
      </c>
      <c r="D189" s="15" t="s">
        <v>66</v>
      </c>
      <c r="E189" s="811">
        <v>108000</v>
      </c>
    </row>
    <row r="190" customHeight="1" spans="1:5">
      <c r="A190" s="27">
        <v>9</v>
      </c>
      <c r="B190" s="11" t="s">
        <v>316</v>
      </c>
      <c r="C190" s="12" t="s">
        <v>317</v>
      </c>
      <c r="D190" s="15" t="s">
        <v>66</v>
      </c>
      <c r="E190" s="811">
        <v>108000</v>
      </c>
    </row>
    <row r="191" customHeight="1" spans="1:5">
      <c r="A191" s="27">
        <v>10</v>
      </c>
      <c r="B191" s="11" t="s">
        <v>318</v>
      </c>
      <c r="C191" s="12" t="s">
        <v>319</v>
      </c>
      <c r="D191" s="15" t="s">
        <v>69</v>
      </c>
      <c r="E191" s="811">
        <v>81600</v>
      </c>
    </row>
    <row r="192" customHeight="1" spans="1:5">
      <c r="A192" s="27">
        <v>11</v>
      </c>
      <c r="B192" s="18" t="s">
        <v>320</v>
      </c>
      <c r="C192" s="4" t="s">
        <v>321</v>
      </c>
      <c r="D192" s="15" t="s">
        <v>131</v>
      </c>
      <c r="E192" s="811">
        <v>81600</v>
      </c>
    </row>
    <row r="193" customHeight="1" spans="1:5">
      <c r="A193" s="27">
        <v>12</v>
      </c>
      <c r="B193" s="11" t="s">
        <v>322</v>
      </c>
      <c r="C193" s="4" t="s">
        <v>321</v>
      </c>
      <c r="D193" s="15" t="s">
        <v>504</v>
      </c>
      <c r="E193" s="811">
        <v>81600</v>
      </c>
    </row>
    <row r="194" customHeight="1" spans="1:5">
      <c r="A194" s="27">
        <v>13</v>
      </c>
      <c r="B194" s="11" t="s">
        <v>323</v>
      </c>
      <c r="C194" s="4" t="s">
        <v>321</v>
      </c>
      <c r="D194" s="15" t="s">
        <v>504</v>
      </c>
      <c r="E194" s="811">
        <v>81600</v>
      </c>
    </row>
    <row r="195" customHeight="1" spans="1:5">
      <c r="A195" s="27">
        <v>14</v>
      </c>
      <c r="B195" s="11" t="s">
        <v>324</v>
      </c>
      <c r="C195" s="4" t="s">
        <v>321</v>
      </c>
      <c r="D195" s="15" t="s">
        <v>504</v>
      </c>
      <c r="E195" s="811">
        <v>81600</v>
      </c>
    </row>
    <row r="196" customHeight="1" spans="1:5">
      <c r="A196" s="27">
        <v>15</v>
      </c>
      <c r="B196" s="11" t="s">
        <v>325</v>
      </c>
      <c r="C196" s="4" t="s">
        <v>321</v>
      </c>
      <c r="D196" s="15" t="s">
        <v>131</v>
      </c>
      <c r="E196" s="811">
        <v>81600</v>
      </c>
    </row>
    <row r="197" customHeight="1" spans="1:5">
      <c r="A197" s="27">
        <v>16</v>
      </c>
      <c r="B197" s="11" t="s">
        <v>326</v>
      </c>
      <c r="C197" s="12" t="s">
        <v>327</v>
      </c>
      <c r="D197" s="15" t="s">
        <v>77</v>
      </c>
      <c r="E197" s="811">
        <v>81600</v>
      </c>
    </row>
    <row r="198" customHeight="1" spans="1:5">
      <c r="A198" s="27">
        <v>17</v>
      </c>
      <c r="B198" s="11" t="s">
        <v>328</v>
      </c>
      <c r="C198" s="12" t="s">
        <v>329</v>
      </c>
      <c r="D198" s="10" t="s">
        <v>80</v>
      </c>
      <c r="E198" s="811">
        <v>81600</v>
      </c>
    </row>
    <row r="199" customHeight="1" spans="1:5">
      <c r="A199" s="27">
        <v>18</v>
      </c>
      <c r="B199" s="11" t="s">
        <v>330</v>
      </c>
      <c r="C199" s="4" t="s">
        <v>331</v>
      </c>
      <c r="D199" s="15" t="s">
        <v>504</v>
      </c>
      <c r="E199" s="811">
        <v>81600</v>
      </c>
    </row>
    <row r="200" customHeight="1" spans="1:5">
      <c r="A200" s="27">
        <v>19</v>
      </c>
      <c r="B200" s="11" t="s">
        <v>332</v>
      </c>
      <c r="C200" s="4" t="s">
        <v>333</v>
      </c>
      <c r="D200" s="15" t="s">
        <v>80</v>
      </c>
      <c r="E200" s="811">
        <v>81600</v>
      </c>
    </row>
    <row r="201" customHeight="1" spans="1:5">
      <c r="A201" s="27">
        <v>20</v>
      </c>
      <c r="B201" s="11" t="s">
        <v>334</v>
      </c>
      <c r="C201" s="4" t="s">
        <v>331</v>
      </c>
      <c r="D201" s="15" t="s">
        <v>504</v>
      </c>
      <c r="E201" s="811">
        <v>81600</v>
      </c>
    </row>
    <row r="202" customHeight="1" spans="1:5">
      <c r="A202" s="27">
        <v>21</v>
      </c>
      <c r="B202" s="11" t="s">
        <v>335</v>
      </c>
      <c r="C202" s="4" t="s">
        <v>336</v>
      </c>
      <c r="D202" s="15" t="s">
        <v>80</v>
      </c>
      <c r="E202" s="811">
        <v>81600</v>
      </c>
    </row>
    <row r="203" customHeight="1" spans="1:5">
      <c r="A203" s="27">
        <v>22</v>
      </c>
      <c r="B203" s="18" t="s">
        <v>337</v>
      </c>
      <c r="C203" s="12" t="s">
        <v>338</v>
      </c>
      <c r="D203" s="15" t="s">
        <v>99</v>
      </c>
      <c r="E203" s="816">
        <v>64800</v>
      </c>
    </row>
    <row r="204" customHeight="1" spans="1:5">
      <c r="A204" s="27">
        <v>23</v>
      </c>
      <c r="B204" s="18" t="s">
        <v>339</v>
      </c>
      <c r="C204" s="12" t="s">
        <v>338</v>
      </c>
      <c r="D204" s="15" t="s">
        <v>99</v>
      </c>
      <c r="E204" s="816">
        <v>64800</v>
      </c>
    </row>
    <row r="205" s="1" customFormat="1" ht="18.75" customHeight="1" spans="1:5">
      <c r="A205" s="27">
        <v>24</v>
      </c>
      <c r="B205" s="18" t="s">
        <v>340</v>
      </c>
      <c r="C205" s="4" t="s">
        <v>341</v>
      </c>
      <c r="D205" s="10" t="s">
        <v>344</v>
      </c>
      <c r="E205" s="816">
        <v>64800</v>
      </c>
    </row>
    <row r="206" s="1" customFormat="1" customHeight="1" spans="1:5">
      <c r="A206" s="27">
        <v>25</v>
      </c>
      <c r="B206" s="18" t="s">
        <v>342</v>
      </c>
      <c r="C206" s="12" t="s">
        <v>343</v>
      </c>
      <c r="D206" s="15" t="s">
        <v>344</v>
      </c>
      <c r="E206" s="816">
        <v>64800</v>
      </c>
    </row>
    <row r="207" customHeight="1" spans="1:5">
      <c r="A207" s="27">
        <v>26</v>
      </c>
      <c r="B207" s="18" t="s">
        <v>345</v>
      </c>
      <c r="C207" s="12" t="s">
        <v>346</v>
      </c>
      <c r="D207" s="15" t="s">
        <v>108</v>
      </c>
      <c r="E207" s="816">
        <v>64800</v>
      </c>
    </row>
    <row r="208" customHeight="1" spans="1:5">
      <c r="A208" s="27">
        <v>27</v>
      </c>
      <c r="B208" s="18" t="s">
        <v>347</v>
      </c>
      <c r="C208" s="12" t="s">
        <v>348</v>
      </c>
      <c r="D208" s="15" t="s">
        <v>108</v>
      </c>
      <c r="E208" s="816">
        <v>64800</v>
      </c>
    </row>
    <row r="209" customHeight="1" spans="1:5">
      <c r="A209" s="27">
        <v>28</v>
      </c>
      <c r="B209" s="18" t="s">
        <v>349</v>
      </c>
      <c r="C209" s="12" t="s">
        <v>350</v>
      </c>
      <c r="D209" s="15" t="s">
        <v>108</v>
      </c>
      <c r="E209" s="816">
        <v>64800</v>
      </c>
    </row>
    <row r="210" customHeight="1" spans="1:5">
      <c r="A210" s="27">
        <v>29</v>
      </c>
      <c r="B210" s="18" t="s">
        <v>351</v>
      </c>
      <c r="C210" s="4" t="s">
        <v>87</v>
      </c>
      <c r="D210" s="10" t="s">
        <v>344</v>
      </c>
      <c r="E210" s="816">
        <v>64800</v>
      </c>
    </row>
    <row r="211" customHeight="1" spans="1:5">
      <c r="A211" s="27">
        <v>30</v>
      </c>
      <c r="B211" s="18" t="s">
        <v>352</v>
      </c>
      <c r="C211" s="12" t="s">
        <v>348</v>
      </c>
      <c r="D211" s="15" t="s">
        <v>108</v>
      </c>
      <c r="E211" s="816">
        <v>64800</v>
      </c>
    </row>
    <row r="212" customHeight="1" spans="1:5">
      <c r="A212" s="27">
        <v>31</v>
      </c>
      <c r="B212" s="18" t="s">
        <v>353</v>
      </c>
      <c r="C212" s="12" t="s">
        <v>354</v>
      </c>
      <c r="D212" s="15" t="s">
        <v>111</v>
      </c>
      <c r="E212" s="816">
        <v>64800</v>
      </c>
    </row>
    <row r="213" customHeight="1" spans="1:5">
      <c r="A213" s="27">
        <v>32</v>
      </c>
      <c r="B213" s="18" t="s">
        <v>355</v>
      </c>
      <c r="C213" s="12" t="s">
        <v>354</v>
      </c>
      <c r="D213" s="15" t="s">
        <v>111</v>
      </c>
      <c r="E213" s="816">
        <v>64800</v>
      </c>
    </row>
    <row r="214" s="1" customFormat="1" customHeight="1" spans="1:5">
      <c r="A214" s="27">
        <v>33</v>
      </c>
      <c r="B214" s="18" t="s">
        <v>486</v>
      </c>
      <c r="C214" s="12" t="s">
        <v>509</v>
      </c>
      <c r="D214" s="15" t="s">
        <v>276</v>
      </c>
      <c r="E214" s="816">
        <v>64800</v>
      </c>
    </row>
    <row r="215" s="1" customFormat="1" customHeight="1" spans="1:5">
      <c r="A215" s="27">
        <v>34</v>
      </c>
      <c r="B215" s="18" t="s">
        <v>356</v>
      </c>
      <c r="C215" s="12" t="s">
        <v>343</v>
      </c>
      <c r="D215" s="15" t="s">
        <v>276</v>
      </c>
      <c r="E215" s="816">
        <v>64800</v>
      </c>
    </row>
    <row r="216" s="1" customFormat="1" customHeight="1" spans="1:5">
      <c r="A216" s="27">
        <v>35</v>
      </c>
      <c r="B216" s="18" t="s">
        <v>357</v>
      </c>
      <c r="C216" s="12" t="s">
        <v>343</v>
      </c>
      <c r="D216" s="15" t="s">
        <v>276</v>
      </c>
      <c r="E216" s="816">
        <v>64800</v>
      </c>
    </row>
    <row r="217" s="1" customFormat="1" customHeight="1" spans="1:5">
      <c r="A217" s="27">
        <v>36</v>
      </c>
      <c r="B217" s="18" t="s">
        <v>358</v>
      </c>
      <c r="C217" s="12" t="s">
        <v>343</v>
      </c>
      <c r="D217" s="15" t="s">
        <v>276</v>
      </c>
      <c r="E217" s="816">
        <v>64800</v>
      </c>
    </row>
    <row r="218" s="1" customFormat="1" customHeight="1" spans="1:5">
      <c r="A218" s="27">
        <v>37</v>
      </c>
      <c r="B218" s="18" t="s">
        <v>359</v>
      </c>
      <c r="C218" s="12" t="s">
        <v>343</v>
      </c>
      <c r="D218" s="15" t="s">
        <v>276</v>
      </c>
      <c r="E218" s="816">
        <v>64800</v>
      </c>
    </row>
    <row r="219" s="1" customFormat="1" customHeight="1" spans="1:5">
      <c r="A219" s="27">
        <v>38</v>
      </c>
      <c r="B219" s="18" t="s">
        <v>360</v>
      </c>
      <c r="C219" s="12" t="s">
        <v>343</v>
      </c>
      <c r="D219" s="15" t="s">
        <v>276</v>
      </c>
      <c r="E219" s="816">
        <v>64800</v>
      </c>
    </row>
    <row r="220" customHeight="1" spans="1:5">
      <c r="A220" s="27">
        <v>39</v>
      </c>
      <c r="B220" s="11" t="s">
        <v>361</v>
      </c>
      <c r="C220" s="12" t="s">
        <v>362</v>
      </c>
      <c r="D220" s="15" t="s">
        <v>375</v>
      </c>
      <c r="E220" s="813">
        <v>54000</v>
      </c>
    </row>
    <row r="221" customHeight="1" spans="1:5">
      <c r="A221" s="27">
        <v>40</v>
      </c>
      <c r="B221" s="11" t="s">
        <v>364</v>
      </c>
      <c r="C221" s="12" t="s">
        <v>362</v>
      </c>
      <c r="D221" s="15" t="s">
        <v>375</v>
      </c>
      <c r="E221" s="813">
        <v>54000</v>
      </c>
    </row>
    <row r="222" customHeight="1" spans="1:5">
      <c r="A222" s="27">
        <v>41</v>
      </c>
      <c r="B222" s="11" t="s">
        <v>365</v>
      </c>
      <c r="C222" s="12" t="s">
        <v>362</v>
      </c>
      <c r="D222" s="15" t="s">
        <v>375</v>
      </c>
      <c r="E222" s="813">
        <v>54000</v>
      </c>
    </row>
    <row r="223" customHeight="1" spans="1:5">
      <c r="A223" s="27">
        <v>42</v>
      </c>
      <c r="B223" s="11" t="s">
        <v>366</v>
      </c>
      <c r="C223" s="12" t="s">
        <v>362</v>
      </c>
      <c r="D223" s="15" t="s">
        <v>375</v>
      </c>
      <c r="E223" s="813">
        <v>54000</v>
      </c>
    </row>
    <row r="224" customHeight="1" spans="1:5">
      <c r="A224" s="27">
        <v>43</v>
      </c>
      <c r="B224" s="11" t="s">
        <v>367</v>
      </c>
      <c r="C224" s="12" t="s">
        <v>362</v>
      </c>
      <c r="D224" s="15" t="s">
        <v>388</v>
      </c>
      <c r="E224" s="813">
        <v>54000</v>
      </c>
    </row>
    <row r="225" customHeight="1" spans="1:5">
      <c r="A225" s="27">
        <v>44</v>
      </c>
      <c r="B225" s="11" t="s">
        <v>369</v>
      </c>
      <c r="C225" s="12" t="s">
        <v>362</v>
      </c>
      <c r="D225" s="15" t="s">
        <v>388</v>
      </c>
      <c r="E225" s="813">
        <v>54000</v>
      </c>
    </row>
    <row r="226" customHeight="1" spans="1:5">
      <c r="A226" s="27">
        <v>45</v>
      </c>
      <c r="B226" s="14" t="s">
        <v>370</v>
      </c>
      <c r="C226" s="12" t="s">
        <v>362</v>
      </c>
      <c r="D226" s="15" t="s">
        <v>388</v>
      </c>
      <c r="E226" s="813">
        <v>54000</v>
      </c>
    </row>
    <row r="227" customHeight="1" spans="1:5">
      <c r="A227" s="27">
        <v>46</v>
      </c>
      <c r="B227" s="11" t="s">
        <v>371</v>
      </c>
      <c r="C227" s="12" t="s">
        <v>362</v>
      </c>
      <c r="D227" s="15" t="s">
        <v>388</v>
      </c>
      <c r="E227" s="813">
        <v>54000</v>
      </c>
    </row>
    <row r="228" customHeight="1" spans="1:5">
      <c r="A228" s="27">
        <v>47</v>
      </c>
      <c r="B228" s="18" t="s">
        <v>372</v>
      </c>
      <c r="C228" s="12" t="s">
        <v>362</v>
      </c>
      <c r="D228" s="15" t="s">
        <v>388</v>
      </c>
      <c r="E228" s="813">
        <v>54000</v>
      </c>
    </row>
    <row r="229" customHeight="1" spans="1:5">
      <c r="A229" s="27">
        <v>48</v>
      </c>
      <c r="B229" s="11" t="s">
        <v>373</v>
      </c>
      <c r="C229" s="12" t="s">
        <v>374</v>
      </c>
      <c r="D229" s="15" t="s">
        <v>510</v>
      </c>
      <c r="E229" s="813">
        <v>54000</v>
      </c>
    </row>
    <row r="230" customHeight="1" spans="1:5">
      <c r="A230" s="27">
        <v>49</v>
      </c>
      <c r="B230" s="11" t="s">
        <v>376</v>
      </c>
      <c r="C230" s="12" t="s">
        <v>374</v>
      </c>
      <c r="D230" s="15" t="s">
        <v>510</v>
      </c>
      <c r="E230" s="813">
        <v>54000</v>
      </c>
    </row>
    <row r="231" customHeight="1" spans="1:5">
      <c r="A231" s="27">
        <v>50</v>
      </c>
      <c r="B231" s="18" t="s">
        <v>377</v>
      </c>
      <c r="C231" s="12" t="s">
        <v>374</v>
      </c>
      <c r="D231" s="15" t="s">
        <v>381</v>
      </c>
      <c r="E231" s="813">
        <v>54000</v>
      </c>
    </row>
    <row r="232" customHeight="1" spans="1:5">
      <c r="A232" s="27">
        <v>51</v>
      </c>
      <c r="B232" s="11" t="s">
        <v>379</v>
      </c>
      <c r="C232" s="12" t="s">
        <v>380</v>
      </c>
      <c r="D232" s="15" t="s">
        <v>511</v>
      </c>
      <c r="E232" s="813">
        <v>54000</v>
      </c>
    </row>
    <row r="233" customHeight="1" spans="1:5">
      <c r="A233" s="27">
        <v>52</v>
      </c>
      <c r="B233" s="11" t="s">
        <v>382</v>
      </c>
      <c r="C233" s="12" t="s">
        <v>380</v>
      </c>
      <c r="D233" s="15" t="s">
        <v>511</v>
      </c>
      <c r="E233" s="813">
        <v>54000</v>
      </c>
    </row>
    <row r="234" customHeight="1" spans="1:5">
      <c r="A234" s="27">
        <v>53</v>
      </c>
      <c r="B234" s="11" t="s">
        <v>383</v>
      </c>
      <c r="C234" s="12" t="s">
        <v>380</v>
      </c>
      <c r="D234" s="15" t="s">
        <v>511</v>
      </c>
      <c r="E234" s="813">
        <v>54000</v>
      </c>
    </row>
    <row r="235" customHeight="1" spans="1:5">
      <c r="A235" s="27">
        <v>54</v>
      </c>
      <c r="B235" s="11" t="s">
        <v>384</v>
      </c>
      <c r="C235" s="12" t="s">
        <v>380</v>
      </c>
      <c r="D235" s="15" t="s">
        <v>511</v>
      </c>
      <c r="E235" s="813">
        <v>54000</v>
      </c>
    </row>
    <row r="236" customHeight="1" spans="1:5">
      <c r="A236" s="27">
        <v>55</v>
      </c>
      <c r="B236" s="11" t="s">
        <v>385</v>
      </c>
      <c r="C236" s="12" t="s">
        <v>380</v>
      </c>
      <c r="D236" s="15" t="s">
        <v>511</v>
      </c>
      <c r="E236" s="813">
        <v>54000</v>
      </c>
    </row>
    <row r="237" customHeight="1" spans="1:5">
      <c r="A237" s="27">
        <v>56</v>
      </c>
      <c r="B237" s="11" t="s">
        <v>386</v>
      </c>
      <c r="C237" s="12" t="s">
        <v>380</v>
      </c>
      <c r="D237" s="15" t="s">
        <v>511</v>
      </c>
      <c r="E237" s="813">
        <v>54000</v>
      </c>
    </row>
    <row r="238" customHeight="1" spans="1:5">
      <c r="A238" s="27">
        <v>57</v>
      </c>
      <c r="B238" s="18" t="s">
        <v>387</v>
      </c>
      <c r="C238" s="12" t="s">
        <v>380</v>
      </c>
      <c r="D238" s="15" t="s">
        <v>511</v>
      </c>
      <c r="E238" s="813">
        <v>54000</v>
      </c>
    </row>
    <row r="239" customHeight="1" spans="1:5">
      <c r="A239" s="27">
        <v>58</v>
      </c>
      <c r="B239" s="18" t="s">
        <v>389</v>
      </c>
      <c r="C239" s="12" t="s">
        <v>390</v>
      </c>
      <c r="D239" s="15" t="s">
        <v>512</v>
      </c>
      <c r="E239" s="811">
        <v>43200</v>
      </c>
    </row>
    <row r="240" customHeight="1" spans="1:5">
      <c r="A240" s="27">
        <v>59</v>
      </c>
      <c r="B240" s="11" t="s">
        <v>392</v>
      </c>
      <c r="C240" s="12" t="s">
        <v>393</v>
      </c>
      <c r="D240" s="15" t="s">
        <v>512</v>
      </c>
      <c r="E240" s="811">
        <v>43200</v>
      </c>
    </row>
    <row r="241" customHeight="1" spans="1:5">
      <c r="A241" s="27">
        <v>60</v>
      </c>
      <c r="B241" s="18" t="s">
        <v>394</v>
      </c>
      <c r="C241" s="12" t="s">
        <v>395</v>
      </c>
      <c r="D241" s="15" t="s">
        <v>398</v>
      </c>
      <c r="E241" s="811">
        <v>43200</v>
      </c>
    </row>
    <row r="242" customHeight="1" spans="1:5">
      <c r="A242" s="27">
        <v>61</v>
      </c>
      <c r="B242" s="18" t="s">
        <v>397</v>
      </c>
      <c r="C242" s="12" t="s">
        <v>395</v>
      </c>
      <c r="D242" s="15" t="s">
        <v>400</v>
      </c>
      <c r="E242" s="811">
        <v>43200</v>
      </c>
    </row>
    <row r="243" customHeight="1" spans="1:5">
      <c r="A243" s="27">
        <v>62</v>
      </c>
      <c r="B243" s="18" t="s">
        <v>399</v>
      </c>
      <c r="C243" s="12" t="s">
        <v>395</v>
      </c>
      <c r="D243" s="15" t="s">
        <v>400</v>
      </c>
      <c r="E243" s="811">
        <v>43200</v>
      </c>
    </row>
    <row r="244" customHeight="1" spans="1:5">
      <c r="A244" s="27">
        <v>63</v>
      </c>
      <c r="B244" s="18" t="s">
        <v>401</v>
      </c>
      <c r="C244" s="12" t="s">
        <v>402</v>
      </c>
      <c r="D244" s="15" t="s">
        <v>513</v>
      </c>
      <c r="E244" s="811">
        <v>43200</v>
      </c>
    </row>
    <row r="245" customHeight="1" spans="1:5">
      <c r="A245" s="27">
        <v>64</v>
      </c>
      <c r="B245" s="18" t="s">
        <v>404</v>
      </c>
      <c r="C245" s="12" t="s">
        <v>402</v>
      </c>
      <c r="D245" s="15" t="s">
        <v>513</v>
      </c>
      <c r="E245" s="811">
        <v>43200</v>
      </c>
    </row>
    <row r="246" customHeight="1" spans="1:5">
      <c r="A246" s="27">
        <v>65</v>
      </c>
      <c r="B246" s="18" t="s">
        <v>405</v>
      </c>
      <c r="C246" s="12" t="s">
        <v>402</v>
      </c>
      <c r="D246" s="15" t="s">
        <v>513</v>
      </c>
      <c r="E246" s="811">
        <v>43200</v>
      </c>
    </row>
    <row r="247" customHeight="1" spans="1:5">
      <c r="A247" s="27">
        <v>66</v>
      </c>
      <c r="B247" s="18" t="s">
        <v>406</v>
      </c>
      <c r="C247" s="12" t="s">
        <v>407</v>
      </c>
      <c r="D247" s="15" t="s">
        <v>396</v>
      </c>
      <c r="E247" s="811">
        <v>43200</v>
      </c>
    </row>
    <row r="248" customHeight="1" spans="1:5">
      <c r="A248" s="27">
        <v>67</v>
      </c>
      <c r="B248" s="18" t="s">
        <v>409</v>
      </c>
      <c r="C248" s="12" t="s">
        <v>407</v>
      </c>
      <c r="D248" s="15" t="s">
        <v>396</v>
      </c>
      <c r="E248" s="811">
        <v>43200</v>
      </c>
    </row>
    <row r="249" ht="30.75" customHeight="1" spans="1:5">
      <c r="A249" s="27"/>
      <c r="B249" s="8" t="s">
        <v>120</v>
      </c>
      <c r="C249" s="28" t="s">
        <v>514</v>
      </c>
      <c r="D249" s="29"/>
      <c r="E249" s="814">
        <f>SUM(E182:E248)</f>
        <v>4964403</v>
      </c>
    </row>
    <row r="250" ht="30" customHeight="1" spans="1:5">
      <c r="A250" s="4"/>
      <c r="B250" s="30" t="s">
        <v>411</v>
      </c>
      <c r="C250" s="31">
        <f>C47+C57+C72+C77+C91+C105+C121+C131+C145+C164+C179+C249</f>
        <v>198</v>
      </c>
      <c r="D250" s="32"/>
      <c r="E250" s="1013">
        <f>E249+E179+E164+E156+E145+E131+E121+E105+E91+E77+E72+E57+E47</f>
        <v>21102403</v>
      </c>
    </row>
    <row r="251" ht="38.25" customHeight="1" spans="2:5">
      <c r="B251" s="33"/>
      <c r="D251" s="34"/>
      <c r="E251" s="34"/>
    </row>
    <row r="252" ht="36.75" customHeight="1" spans="2:5">
      <c r="B252" s="33"/>
      <c r="C252" s="34"/>
      <c r="D252" s="34"/>
      <c r="E252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8" max="4" man="1"/>
    <brk id="105" max="4" man="1"/>
    <brk id="157" max="4" man="1"/>
    <brk id="208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H14" sqref="H14"/>
    </sheetView>
  </sheetViews>
  <sheetFormatPr defaultColWidth="8.70909090909091" defaultRowHeight="12.5" outlineLevelRow="6" outlineLevelCol="2"/>
  <cols>
    <col min="1" max="1" width="6.85454545454545" customWidth="1"/>
    <col min="2" max="2" width="29" customWidth="1"/>
    <col min="3" max="3" width="14.6363636363636"/>
  </cols>
  <sheetData>
    <row r="1" ht="20.1" customHeight="1" spans="1:3">
      <c r="A1" s="721" t="s">
        <v>598</v>
      </c>
      <c r="B1" s="721"/>
      <c r="C1" s="721"/>
    </row>
    <row r="2" ht="23.1" customHeight="1" spans="1:3">
      <c r="A2" s="722">
        <v>1</v>
      </c>
      <c r="B2" s="722" t="s">
        <v>599</v>
      </c>
      <c r="C2" s="610">
        <f>'Christmas Welfare 2025 (2)'!E250</f>
        <v>21102403</v>
      </c>
    </row>
    <row r="3" ht="23.1" customHeight="1" spans="1:3">
      <c r="A3" s="722">
        <v>2</v>
      </c>
      <c r="B3" s="722" t="s">
        <v>600</v>
      </c>
      <c r="C3" s="610">
        <f>'[20]Chr. Welfare Contract'!$E$32</f>
        <v>2611200</v>
      </c>
    </row>
    <row r="4" ht="23.1" customHeight="1" spans="1:3">
      <c r="A4" s="722">
        <v>3</v>
      </c>
      <c r="B4" s="722" t="s">
        <v>601</v>
      </c>
      <c r="C4" s="610">
        <f>'[20]CASUAL, SABB &amp; NYSC Chr Welfare'!$D$93</f>
        <v>4250400</v>
      </c>
    </row>
    <row r="5" ht="23.1" customHeight="1" spans="1:3">
      <c r="A5" s="722">
        <v>4</v>
      </c>
      <c r="B5" s="722" t="s">
        <v>602</v>
      </c>
      <c r="C5" s="610">
        <f>'[20]CONSULTANTS Chr. Welfare'!$D$20</f>
        <v>1296000</v>
      </c>
    </row>
    <row r="6" ht="23.1" customHeight="1" spans="1:3">
      <c r="A6" s="722">
        <v>5</v>
      </c>
      <c r="B6" s="722" t="s">
        <v>603</v>
      </c>
      <c r="C6" s="610"/>
    </row>
    <row r="7" ht="23.1" customHeight="1" spans="1:3">
      <c r="A7" s="722"/>
      <c r="B7" s="265" t="s">
        <v>604</v>
      </c>
      <c r="C7" s="723">
        <f>SUM(C2:C6)</f>
        <v>29260003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E15" activePane="bottomRight" state="frozen"/>
      <selection/>
      <selection pane="topRight"/>
      <selection pane="bottomLeft"/>
      <selection pane="bottomRight" activeCell="H16" sqref="H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605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516</v>
      </c>
      <c r="F4" s="906" t="s">
        <v>490</v>
      </c>
      <c r="G4" s="914" t="s">
        <v>523</v>
      </c>
      <c r="H4" s="914" t="s">
        <v>524</v>
      </c>
      <c r="I4" s="914" t="s">
        <v>499</v>
      </c>
      <c r="J4" s="914" t="s">
        <v>526</v>
      </c>
    </row>
    <row r="5" ht="17.25" customHeight="1" spans="1:10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</row>
    <row r="6" ht="17.25" customHeight="1" spans="1:10">
      <c r="A6" s="4"/>
      <c r="B6" s="4"/>
      <c r="C6" s="8"/>
      <c r="D6" s="8"/>
      <c r="E6" s="10" t="s">
        <v>527</v>
      </c>
      <c r="F6" s="908" t="s">
        <v>528</v>
      </c>
      <c r="G6" s="915" t="s">
        <v>535</v>
      </c>
      <c r="H6" s="915" t="s">
        <v>536</v>
      </c>
      <c r="I6" s="915" t="s">
        <v>537</v>
      </c>
      <c r="J6" s="915" t="s">
        <v>539</v>
      </c>
    </row>
    <row r="7" customHeight="1" spans="1:10">
      <c r="A7" s="9" t="s">
        <v>21</v>
      </c>
      <c r="B7" s="8" t="s">
        <v>22</v>
      </c>
      <c r="C7" s="8"/>
      <c r="D7" s="8"/>
      <c r="E7" s="10"/>
      <c r="F7" s="908"/>
      <c r="G7" s="915"/>
      <c r="H7" s="915" t="s">
        <v>545</v>
      </c>
      <c r="I7" s="915" t="s">
        <v>546</v>
      </c>
      <c r="J7" s="915" t="s">
        <v>546</v>
      </c>
    </row>
    <row r="8" customHeight="1" spans="1:10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916"/>
      <c r="H8" s="916"/>
      <c r="I8" s="916">
        <f t="shared" ref="I8:I38" si="0">H8-G8</f>
        <v>0</v>
      </c>
      <c r="J8" s="916">
        <f t="shared" ref="J8:J38" si="1">H8*12</f>
        <v>0</v>
      </c>
    </row>
    <row r="9" customHeight="1" spans="1:10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916"/>
      <c r="H9" s="916"/>
      <c r="I9" s="916">
        <f t="shared" si="0"/>
        <v>0</v>
      </c>
      <c r="J9" s="916">
        <f t="shared" si="1"/>
        <v>0</v>
      </c>
    </row>
    <row r="10" customHeight="1" spans="1:10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916"/>
      <c r="H10" s="916"/>
      <c r="I10" s="916">
        <f t="shared" si="0"/>
        <v>0</v>
      </c>
      <c r="J10" s="916">
        <f t="shared" si="1"/>
        <v>0</v>
      </c>
    </row>
    <row r="11" customHeight="1" spans="1:10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916">
        <v>10293.3979166667</v>
      </c>
      <c r="H11" s="916">
        <f t="shared" ref="H11:H38" si="2">0.025*F11</f>
        <v>13866.7375</v>
      </c>
      <c r="I11" s="916">
        <f t="shared" si="0"/>
        <v>3573.3395833333</v>
      </c>
      <c r="J11" s="916">
        <f t="shared" si="1"/>
        <v>166400.85</v>
      </c>
    </row>
    <row r="12" customHeight="1" spans="1:10">
      <c r="A12" s="10">
        <v>5</v>
      </c>
      <c r="B12" s="11" t="s">
        <v>33</v>
      </c>
      <c r="C12" s="12" t="s">
        <v>34</v>
      </c>
      <c r="D12" s="15" t="s">
        <v>506</v>
      </c>
      <c r="E12" s="85">
        <v>716034</v>
      </c>
      <c r="F12" s="909">
        <f>'[18] FGN 2024 MGT Monthly'!$H$44</f>
        <v>523386.5</v>
      </c>
      <c r="G12" s="916">
        <v>10293.3979166667</v>
      </c>
      <c r="H12" s="916">
        <f t="shared" si="2"/>
        <v>13084.6625</v>
      </c>
      <c r="I12" s="916">
        <f t="shared" si="0"/>
        <v>2791.2645833333</v>
      </c>
      <c r="J12" s="916">
        <f t="shared" si="1"/>
        <v>157015.95</v>
      </c>
    </row>
    <row r="13" customHeight="1" spans="1:10">
      <c r="A13" s="10">
        <v>6</v>
      </c>
      <c r="B13" s="11" t="s">
        <v>36</v>
      </c>
      <c r="C13" s="4" t="s">
        <v>37</v>
      </c>
      <c r="D13" s="10" t="s">
        <v>49</v>
      </c>
      <c r="E13" s="85">
        <v>601396.833333333</v>
      </c>
      <c r="F13" s="909">
        <v>445995.833333333</v>
      </c>
      <c r="G13" s="916">
        <v>7859.63125</v>
      </c>
      <c r="H13" s="916">
        <f t="shared" si="2"/>
        <v>11149.8958333333</v>
      </c>
      <c r="I13" s="916">
        <f t="shared" si="0"/>
        <v>3290.26458333333</v>
      </c>
      <c r="J13" s="916">
        <f t="shared" si="1"/>
        <v>133798.75</v>
      </c>
    </row>
    <row r="14" customHeight="1" spans="1:10">
      <c r="A14" s="10">
        <v>7</v>
      </c>
      <c r="B14" s="11" t="s">
        <v>39</v>
      </c>
      <c r="C14" s="4" t="s">
        <v>547</v>
      </c>
      <c r="D14" s="15" t="s">
        <v>189</v>
      </c>
      <c r="E14" s="85">
        <v>484373.75</v>
      </c>
      <c r="F14" s="909">
        <v>366417.5</v>
      </c>
      <c r="G14" s="916"/>
      <c r="H14" s="916">
        <f t="shared" si="2"/>
        <v>9160.4375</v>
      </c>
      <c r="I14" s="916">
        <f t="shared" si="0"/>
        <v>9160.4375</v>
      </c>
      <c r="J14" s="916">
        <f t="shared" si="1"/>
        <v>109925.25</v>
      </c>
    </row>
    <row r="15" customHeight="1" spans="1:10">
      <c r="A15" s="10">
        <v>8</v>
      </c>
      <c r="B15" s="14" t="s">
        <v>42</v>
      </c>
      <c r="C15" s="17" t="s">
        <v>43</v>
      </c>
      <c r="D15" s="15" t="s">
        <v>49</v>
      </c>
      <c r="E15" s="85">
        <v>601396.833333333</v>
      </c>
      <c r="F15" s="909">
        <f>'[18] FGN 2024 MGT Monthly'!$I$43</f>
        <v>445995.833333333</v>
      </c>
      <c r="G15" s="916"/>
      <c r="H15" s="916">
        <f t="shared" si="2"/>
        <v>11149.8958333333</v>
      </c>
      <c r="I15" s="916">
        <f t="shared" si="0"/>
        <v>11149.8958333333</v>
      </c>
      <c r="J15" s="916">
        <f t="shared" si="1"/>
        <v>133798.75</v>
      </c>
    </row>
    <row r="16" customHeight="1" spans="1:10">
      <c r="A16" s="10">
        <v>9</v>
      </c>
      <c r="B16" s="11" t="s">
        <v>44</v>
      </c>
      <c r="C16" s="4" t="s">
        <v>45</v>
      </c>
      <c r="D16" s="10" t="s">
        <v>212</v>
      </c>
      <c r="E16" s="85">
        <v>456622.25</v>
      </c>
      <c r="F16" s="909">
        <v>347715.916666667</v>
      </c>
      <c r="G16" s="916"/>
      <c r="H16" s="916">
        <f t="shared" si="2"/>
        <v>8692.89791666667</v>
      </c>
      <c r="I16" s="916">
        <f t="shared" si="0"/>
        <v>8692.89791666667</v>
      </c>
      <c r="J16" s="916">
        <f t="shared" si="1"/>
        <v>104314.775</v>
      </c>
    </row>
    <row r="17" customHeight="1" spans="1:10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916"/>
      <c r="H17" s="916">
        <f t="shared" si="2"/>
        <v>10824.5270833333</v>
      </c>
      <c r="I17" s="916">
        <f t="shared" si="0"/>
        <v>10824.5270833333</v>
      </c>
      <c r="J17" s="916">
        <f t="shared" si="1"/>
        <v>129894.325</v>
      </c>
    </row>
    <row r="18" customHeight="1" spans="1:10">
      <c r="A18" s="10">
        <v>11</v>
      </c>
      <c r="B18" s="11" t="s">
        <v>50</v>
      </c>
      <c r="C18" s="12" t="s">
        <v>60</v>
      </c>
      <c r="D18" s="15" t="s">
        <v>55</v>
      </c>
      <c r="E18" s="85">
        <v>441804.916666667</v>
      </c>
      <c r="F18" s="909">
        <v>337730.833333333</v>
      </c>
      <c r="G18" s="916"/>
      <c r="H18" s="916">
        <f t="shared" si="2"/>
        <v>8443.27083333333</v>
      </c>
      <c r="I18" s="916">
        <f t="shared" si="0"/>
        <v>8443.27083333333</v>
      </c>
      <c r="J18" s="916">
        <f t="shared" si="1"/>
        <v>101319.25</v>
      </c>
    </row>
    <row r="19" customHeight="1" spans="1:10">
      <c r="A19" s="10">
        <v>12</v>
      </c>
      <c r="B19" s="18" t="s">
        <v>53</v>
      </c>
      <c r="C19" s="4" t="s">
        <v>54</v>
      </c>
      <c r="D19" s="15" t="s">
        <v>548</v>
      </c>
      <c r="E19" s="85">
        <v>428915.916666667</v>
      </c>
      <c r="F19" s="909">
        <v>329044.916666667</v>
      </c>
      <c r="G19" s="916">
        <v>5607.17708333333</v>
      </c>
      <c r="H19" s="916">
        <f t="shared" si="2"/>
        <v>8226.12291666667</v>
      </c>
      <c r="I19" s="916">
        <f t="shared" si="0"/>
        <v>2618.94583333334</v>
      </c>
      <c r="J19" s="916">
        <f t="shared" si="1"/>
        <v>98713.4750000001</v>
      </c>
    </row>
    <row r="20" customHeight="1" spans="1:10">
      <c r="A20" s="10">
        <v>13</v>
      </c>
      <c r="B20" s="18" t="s">
        <v>56</v>
      </c>
      <c r="C20" s="4" t="s">
        <v>57</v>
      </c>
      <c r="D20" s="15" t="s">
        <v>503</v>
      </c>
      <c r="E20" s="676">
        <v>403138</v>
      </c>
      <c r="F20" s="909">
        <v>311673.25</v>
      </c>
      <c r="G20" s="916">
        <v>5967.30625</v>
      </c>
      <c r="H20" s="916">
        <f t="shared" si="2"/>
        <v>7791.83125</v>
      </c>
      <c r="I20" s="916">
        <f t="shared" si="0"/>
        <v>1824.525</v>
      </c>
      <c r="J20" s="916">
        <f t="shared" si="1"/>
        <v>93501.975</v>
      </c>
    </row>
    <row r="21" customHeight="1" spans="1:10">
      <c r="A21" s="10">
        <v>14</v>
      </c>
      <c r="B21" s="18" t="s">
        <v>59</v>
      </c>
      <c r="C21" s="4" t="s">
        <v>60</v>
      </c>
      <c r="D21" s="15" t="s">
        <v>503</v>
      </c>
      <c r="E21" s="676">
        <v>403138</v>
      </c>
      <c r="F21" s="909">
        <v>311673.25</v>
      </c>
      <c r="G21" s="916"/>
      <c r="H21" s="916">
        <f t="shared" si="2"/>
        <v>7791.83125</v>
      </c>
      <c r="I21" s="916">
        <f t="shared" si="0"/>
        <v>7791.83125</v>
      </c>
      <c r="J21" s="916">
        <f t="shared" si="1"/>
        <v>93501.975</v>
      </c>
    </row>
    <row r="22" customHeight="1" spans="1:10">
      <c r="A22" s="10">
        <v>15</v>
      </c>
      <c r="B22" s="11" t="s">
        <v>61</v>
      </c>
      <c r="C22" s="12" t="s">
        <v>549</v>
      </c>
      <c r="D22" s="15" t="s">
        <v>259</v>
      </c>
      <c r="E22" s="85">
        <v>402278</v>
      </c>
      <c r="F22" s="909">
        <f>'[18] FGN 2024 MGT Monthly'!$L$40</f>
        <v>311094.416666667</v>
      </c>
      <c r="G22" s="916">
        <v>5257.5625</v>
      </c>
      <c r="H22" s="916">
        <f t="shared" si="2"/>
        <v>7777.36041666667</v>
      </c>
      <c r="I22" s="916">
        <f t="shared" si="0"/>
        <v>2519.79791666667</v>
      </c>
      <c r="J22" s="916">
        <f t="shared" si="1"/>
        <v>93328.325</v>
      </c>
    </row>
    <row r="23" ht="18.75" customHeight="1" spans="1:10">
      <c r="A23" s="10">
        <v>16</v>
      </c>
      <c r="B23" s="11" t="s">
        <v>64</v>
      </c>
      <c r="C23" s="12" t="s">
        <v>176</v>
      </c>
      <c r="D23" s="15" t="s">
        <v>170</v>
      </c>
      <c r="E23" s="85">
        <v>390086.5</v>
      </c>
      <c r="F23" s="909">
        <v>302878.666666667</v>
      </c>
      <c r="G23" s="916"/>
      <c r="H23" s="916">
        <f t="shared" si="2"/>
        <v>7571.96666666667</v>
      </c>
      <c r="I23" s="916">
        <f t="shared" si="0"/>
        <v>7571.96666666667</v>
      </c>
      <c r="J23" s="916">
        <f t="shared" si="1"/>
        <v>90863.6000000001</v>
      </c>
    </row>
    <row r="24" customHeight="1" spans="1:10">
      <c r="A24" s="10">
        <v>17</v>
      </c>
      <c r="B24" s="14" t="s">
        <v>67</v>
      </c>
      <c r="C24" s="17" t="s">
        <v>68</v>
      </c>
      <c r="D24" s="10" t="s">
        <v>131</v>
      </c>
      <c r="E24" s="85">
        <v>365704</v>
      </c>
      <c r="F24" s="909">
        <v>286447.083333333</v>
      </c>
      <c r="G24" s="916"/>
      <c r="H24" s="916">
        <f t="shared" si="2"/>
        <v>7161.17708333333</v>
      </c>
      <c r="I24" s="916">
        <f t="shared" si="0"/>
        <v>7161.17708333333</v>
      </c>
      <c r="J24" s="916">
        <f t="shared" si="1"/>
        <v>85934.1249999999</v>
      </c>
    </row>
    <row r="25" ht="21.6" customHeight="1" spans="1:10">
      <c r="A25" s="10">
        <v>18</v>
      </c>
      <c r="B25" s="11" t="s">
        <v>70</v>
      </c>
      <c r="C25" s="17" t="s">
        <v>71</v>
      </c>
      <c r="D25" s="15" t="s">
        <v>131</v>
      </c>
      <c r="E25" s="85">
        <v>365704</v>
      </c>
      <c r="F25" s="909">
        <v>286447.083333333</v>
      </c>
      <c r="G25" s="916"/>
      <c r="H25" s="916">
        <f t="shared" si="2"/>
        <v>7161.17708333333</v>
      </c>
      <c r="I25" s="916">
        <f t="shared" si="0"/>
        <v>7161.17708333333</v>
      </c>
      <c r="J25" s="916">
        <f t="shared" si="1"/>
        <v>85934.1249999999</v>
      </c>
    </row>
    <row r="26" customHeight="1" spans="1:10">
      <c r="A26" s="10">
        <v>19</v>
      </c>
      <c r="B26" s="14" t="s">
        <v>72</v>
      </c>
      <c r="C26" s="17" t="s">
        <v>73</v>
      </c>
      <c r="D26" s="10" t="s">
        <v>80</v>
      </c>
      <c r="E26" s="85">
        <v>293029.666666667</v>
      </c>
      <c r="F26" s="909">
        <v>240874.583333333</v>
      </c>
      <c r="G26" s="916"/>
      <c r="H26" s="916">
        <f t="shared" si="2"/>
        <v>6021.86458333332</v>
      </c>
      <c r="I26" s="916">
        <f t="shared" si="0"/>
        <v>6021.86458333332</v>
      </c>
      <c r="J26" s="916">
        <f t="shared" si="1"/>
        <v>72262.3749999999</v>
      </c>
    </row>
    <row r="27" customHeight="1" spans="1:10">
      <c r="A27" s="10">
        <v>20</v>
      </c>
      <c r="B27" s="14" t="s">
        <v>75</v>
      </c>
      <c r="C27" s="17" t="s">
        <v>76</v>
      </c>
      <c r="D27" s="10" t="s">
        <v>74</v>
      </c>
      <c r="E27" s="85">
        <v>300965.583333333</v>
      </c>
      <c r="F27" s="909">
        <v>240874.583333333</v>
      </c>
      <c r="G27" s="916"/>
      <c r="H27" s="916">
        <f t="shared" si="2"/>
        <v>6021.86458333332</v>
      </c>
      <c r="I27" s="916">
        <f t="shared" si="0"/>
        <v>6021.86458333332</v>
      </c>
      <c r="J27" s="916">
        <f t="shared" si="1"/>
        <v>72262.3749999999</v>
      </c>
    </row>
    <row r="28" ht="18.75" customHeight="1" spans="1:10">
      <c r="A28" s="10">
        <v>21</v>
      </c>
      <c r="B28" s="4" t="s">
        <v>485</v>
      </c>
      <c r="C28" s="4" t="s">
        <v>94</v>
      </c>
      <c r="D28" s="10" t="s">
        <v>85</v>
      </c>
      <c r="E28" s="85">
        <v>277798</v>
      </c>
      <c r="F28" s="909">
        <v>227615.75</v>
      </c>
      <c r="G28" s="916"/>
      <c r="H28" s="916">
        <f t="shared" si="2"/>
        <v>5690.39375</v>
      </c>
      <c r="I28" s="916">
        <f t="shared" si="0"/>
        <v>5690.39375</v>
      </c>
      <c r="J28" s="916">
        <f t="shared" si="1"/>
        <v>68284.725</v>
      </c>
    </row>
    <row r="29" ht="18.75" customHeight="1" spans="1:10">
      <c r="A29" s="10">
        <v>22</v>
      </c>
      <c r="B29" s="18" t="s">
        <v>78</v>
      </c>
      <c r="C29" s="12" t="s">
        <v>94</v>
      </c>
      <c r="D29" s="15" t="s">
        <v>85</v>
      </c>
      <c r="E29" s="85">
        <v>277798</v>
      </c>
      <c r="F29" s="909">
        <v>227615.75</v>
      </c>
      <c r="G29" s="916"/>
      <c r="H29" s="916">
        <f t="shared" si="2"/>
        <v>5690.39375</v>
      </c>
      <c r="I29" s="916">
        <f t="shared" si="0"/>
        <v>5690.39375</v>
      </c>
      <c r="J29" s="916">
        <f t="shared" si="1"/>
        <v>68284.725</v>
      </c>
    </row>
    <row r="30" customHeight="1" spans="1:10">
      <c r="A30" s="10">
        <v>23</v>
      </c>
      <c r="B30" s="11" t="s">
        <v>81</v>
      </c>
      <c r="C30" s="17" t="s">
        <v>68</v>
      </c>
      <c r="D30" s="10" t="s">
        <v>85</v>
      </c>
      <c r="E30" s="85">
        <v>277798</v>
      </c>
      <c r="F30" s="909">
        <v>227615.75</v>
      </c>
      <c r="G30" s="916"/>
      <c r="H30" s="916">
        <f t="shared" si="2"/>
        <v>5690.39375</v>
      </c>
      <c r="I30" s="916">
        <f t="shared" si="0"/>
        <v>5690.39375</v>
      </c>
      <c r="J30" s="916">
        <f t="shared" si="1"/>
        <v>68284.725</v>
      </c>
    </row>
    <row r="31" ht="18.75" customHeight="1" spans="1:10">
      <c r="A31" s="10">
        <v>24</v>
      </c>
      <c r="B31" s="18" t="s">
        <v>83</v>
      </c>
      <c r="C31" s="12" t="s">
        <v>84</v>
      </c>
      <c r="D31" s="15" t="s">
        <v>88</v>
      </c>
      <c r="E31" s="85">
        <v>270481.666666667</v>
      </c>
      <c r="F31" s="909">
        <v>222674.583333333</v>
      </c>
      <c r="G31" s="916"/>
      <c r="H31" s="916">
        <f t="shared" si="2"/>
        <v>5566.86458333332</v>
      </c>
      <c r="I31" s="916">
        <f t="shared" si="0"/>
        <v>5566.86458333332</v>
      </c>
      <c r="J31" s="916">
        <f t="shared" si="1"/>
        <v>66802.3749999999</v>
      </c>
    </row>
    <row r="32" ht="18.75" customHeight="1" spans="1:10">
      <c r="A32" s="10">
        <v>25</v>
      </c>
      <c r="B32" s="18" t="s">
        <v>86</v>
      </c>
      <c r="C32" s="4" t="s">
        <v>87</v>
      </c>
      <c r="D32" s="10" t="s">
        <v>99</v>
      </c>
      <c r="E32" s="85">
        <v>263165.333333333</v>
      </c>
      <c r="F32" s="909">
        <v>217733.416666667</v>
      </c>
      <c r="G32" s="916"/>
      <c r="H32" s="916">
        <f t="shared" si="2"/>
        <v>5443.33541666668</v>
      </c>
      <c r="I32" s="916">
        <f t="shared" si="0"/>
        <v>5443.33541666668</v>
      </c>
      <c r="J32" s="916">
        <f t="shared" si="1"/>
        <v>65320.0250000001</v>
      </c>
    </row>
    <row r="33" ht="18.75" customHeight="1" spans="1:10">
      <c r="A33" s="10">
        <v>26</v>
      </c>
      <c r="B33" s="18" t="s">
        <v>89</v>
      </c>
      <c r="C33" s="4" t="s">
        <v>87</v>
      </c>
      <c r="D33" s="10" t="s">
        <v>99</v>
      </c>
      <c r="E33" s="85">
        <v>263165.333333333</v>
      </c>
      <c r="F33" s="909">
        <v>217733.416666667</v>
      </c>
      <c r="G33" s="916"/>
      <c r="H33" s="916">
        <f t="shared" si="2"/>
        <v>5443.33541666668</v>
      </c>
      <c r="I33" s="916">
        <f t="shared" si="0"/>
        <v>5443.33541666668</v>
      </c>
      <c r="J33" s="916">
        <f t="shared" si="1"/>
        <v>65320.0250000001</v>
      </c>
    </row>
    <row r="34" ht="18.75" customHeight="1" spans="1:10">
      <c r="A34" s="10">
        <v>27</v>
      </c>
      <c r="B34" s="18" t="s">
        <v>91</v>
      </c>
      <c r="C34" s="17" t="s">
        <v>550</v>
      </c>
      <c r="D34" s="15" t="s">
        <v>85</v>
      </c>
      <c r="E34" s="85">
        <v>277798</v>
      </c>
      <c r="F34" s="909">
        <v>227615.75</v>
      </c>
      <c r="G34" s="916">
        <v>3653.5</v>
      </c>
      <c r="H34" s="916">
        <f t="shared" si="2"/>
        <v>5690.39375</v>
      </c>
      <c r="I34" s="916">
        <f t="shared" si="0"/>
        <v>2036.89375</v>
      </c>
      <c r="J34" s="916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09">
        <v>217733.416666667</v>
      </c>
      <c r="G35" s="916"/>
      <c r="H35" s="916">
        <f t="shared" si="2"/>
        <v>5443.33541666668</v>
      </c>
      <c r="I35" s="916">
        <f t="shared" si="0"/>
        <v>5443.33541666668</v>
      </c>
      <c r="J35" s="916">
        <f t="shared" si="1"/>
        <v>65320.0250000001</v>
      </c>
    </row>
    <row r="36" ht="18.75" customHeight="1" spans="1:10">
      <c r="A36" s="10">
        <v>29</v>
      </c>
      <c r="B36" s="18" t="s">
        <v>95</v>
      </c>
      <c r="C36" s="4" t="s">
        <v>551</v>
      </c>
      <c r="D36" s="10" t="s">
        <v>99</v>
      </c>
      <c r="E36" s="85">
        <v>263165.333333333</v>
      </c>
      <c r="F36" s="909">
        <v>217733.416666667</v>
      </c>
      <c r="G36" s="916"/>
      <c r="H36" s="916">
        <f t="shared" si="2"/>
        <v>5443.33541666668</v>
      </c>
      <c r="I36" s="916">
        <f t="shared" si="0"/>
        <v>5443.33541666668</v>
      </c>
      <c r="J36" s="916">
        <f t="shared" si="1"/>
        <v>65320.0250000001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09">
        <v>196364.416666667</v>
      </c>
      <c r="G37" s="916"/>
      <c r="H37" s="916">
        <f t="shared" si="2"/>
        <v>4909.11041666668</v>
      </c>
      <c r="I37" s="916">
        <f t="shared" si="0"/>
        <v>4909.11041666668</v>
      </c>
      <c r="J37" s="916">
        <f t="shared" si="1"/>
        <v>58909.3250000001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76">
        <v>224459.75</v>
      </c>
      <c r="F38" s="909">
        <v>192179.416666667</v>
      </c>
      <c r="G38" s="916"/>
      <c r="H38" s="916">
        <f t="shared" si="2"/>
        <v>4804.48541666668</v>
      </c>
      <c r="I38" s="916">
        <f t="shared" si="0"/>
        <v>4804.48541666668</v>
      </c>
      <c r="J38" s="916">
        <f t="shared" si="1"/>
        <v>57653.8250000001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3">SUM(E8:E38)</f>
        <v>14073003.667</v>
      </c>
      <c r="F39" s="910">
        <f t="shared" si="3"/>
        <v>10664632</v>
      </c>
      <c r="G39" s="221">
        <f t="shared" si="3"/>
        <v>48931.9729166667</v>
      </c>
      <c r="H39" s="221">
        <f t="shared" si="3"/>
        <v>211712.897916667</v>
      </c>
      <c r="I39" s="221">
        <f t="shared" si="3"/>
        <v>162780.925</v>
      </c>
      <c r="J39" s="221">
        <f t="shared" si="3"/>
        <v>2540554.775</v>
      </c>
    </row>
    <row r="40" ht="18.75" customHeight="1" spans="1:10">
      <c r="A40" s="10"/>
      <c r="B40" s="22"/>
      <c r="C40" s="4"/>
      <c r="D40" s="15"/>
      <c r="E40" s="221"/>
      <c r="F40" s="910"/>
      <c r="G40" s="916"/>
      <c r="H40" s="916"/>
      <c r="I40" s="916"/>
      <c r="J40" s="916"/>
    </row>
    <row r="41" ht="18.75" customHeight="1" spans="1:10">
      <c r="A41" s="10"/>
      <c r="B41" s="20" t="s">
        <v>121</v>
      </c>
      <c r="C41" s="4"/>
      <c r="D41" s="15"/>
      <c r="E41" s="85"/>
      <c r="F41" s="909"/>
      <c r="G41" s="916"/>
      <c r="H41" s="916"/>
      <c r="I41" s="916"/>
      <c r="J41" s="916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09">
        <v>1086777.08333333</v>
      </c>
      <c r="G42" s="916"/>
      <c r="H42" s="916">
        <f t="shared" ref="H42:H45" si="4">0.025*F42</f>
        <v>27169.4270833333</v>
      </c>
      <c r="I42" s="916">
        <f t="shared" ref="I42:I45" si="5">H42-G42</f>
        <v>27169.4270833333</v>
      </c>
      <c r="J42" s="916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74</v>
      </c>
      <c r="E43" s="85">
        <v>300965.583333333</v>
      </c>
      <c r="F43" s="909">
        <v>240874.583333333</v>
      </c>
      <c r="G43" s="916"/>
      <c r="H43" s="916">
        <f t="shared" si="4"/>
        <v>6021.86458333332</v>
      </c>
      <c r="I43" s="916">
        <f t="shared" si="5"/>
        <v>6021.86458333332</v>
      </c>
      <c r="J43" s="916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77</v>
      </c>
      <c r="E44" s="85">
        <v>308901.5</v>
      </c>
      <c r="F44" s="909">
        <v>246171.166666667</v>
      </c>
      <c r="G44" s="916"/>
      <c r="H44" s="916">
        <f t="shared" si="4"/>
        <v>6154.27916666668</v>
      </c>
      <c r="I44" s="916">
        <f t="shared" si="5"/>
        <v>6154.27916666668</v>
      </c>
      <c r="J44" s="916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76">
        <v>263165.333333333</v>
      </c>
      <c r="F45" s="909">
        <v>217733.416666667</v>
      </c>
      <c r="G45" s="916"/>
      <c r="H45" s="916">
        <f t="shared" si="4"/>
        <v>5443.33541666668</v>
      </c>
      <c r="I45" s="916">
        <f t="shared" si="5"/>
        <v>5443.33541666668</v>
      </c>
      <c r="J45" s="916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0">
        <f t="shared" si="6"/>
        <v>1791556.25</v>
      </c>
      <c r="G46" s="221">
        <f t="shared" si="6"/>
        <v>0</v>
      </c>
      <c r="H46" s="221">
        <f t="shared" si="6"/>
        <v>44788.9062499999</v>
      </c>
      <c r="I46" s="221">
        <f t="shared" si="6"/>
        <v>44788.9062499999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0"/>
      <c r="G47" s="916"/>
      <c r="H47" s="916"/>
      <c r="I47" s="916"/>
      <c r="J47" s="916"/>
    </row>
    <row r="48" customHeight="1" spans="1:10">
      <c r="A48" s="10"/>
      <c r="B48" s="23" t="s">
        <v>137</v>
      </c>
      <c r="C48" s="5"/>
      <c r="D48" s="24"/>
      <c r="E48" s="221"/>
      <c r="F48" s="910"/>
      <c r="G48" s="916"/>
      <c r="H48" s="916"/>
      <c r="I48" s="916"/>
      <c r="J48" s="916"/>
    </row>
    <row r="49" customHeight="1" spans="1:10">
      <c r="A49" s="10">
        <v>1</v>
      </c>
      <c r="B49" s="11" t="s">
        <v>138</v>
      </c>
      <c r="C49" s="4" t="s">
        <v>552</v>
      </c>
      <c r="D49" s="10" t="s">
        <v>35</v>
      </c>
      <c r="E49" s="85">
        <v>762373.166666667</v>
      </c>
      <c r="F49" s="909">
        <v>554669.5</v>
      </c>
      <c r="G49" s="916"/>
      <c r="H49" s="916">
        <f t="shared" ref="H49:H56" si="7">0.025*F49</f>
        <v>13866.7375</v>
      </c>
      <c r="I49" s="916">
        <f t="shared" ref="I49:I56" si="8">H49-G49</f>
        <v>13866.7375</v>
      </c>
      <c r="J49" s="916"/>
    </row>
    <row r="50" customHeight="1" spans="1:10">
      <c r="A50" s="10">
        <v>2</v>
      </c>
      <c r="B50" s="11" t="s">
        <v>141</v>
      </c>
      <c r="C50" s="4" t="s">
        <v>142</v>
      </c>
      <c r="D50" s="10" t="s">
        <v>38</v>
      </c>
      <c r="E50" s="85">
        <v>620675.583333333</v>
      </c>
      <c r="F50" s="909">
        <v>459010.5</v>
      </c>
      <c r="G50" s="916"/>
      <c r="H50" s="916">
        <f t="shared" si="7"/>
        <v>11475.2625</v>
      </c>
      <c r="I50" s="916">
        <f t="shared" si="8"/>
        <v>11475.2625</v>
      </c>
      <c r="J50" s="916"/>
    </row>
    <row r="51" customHeight="1" spans="1:10">
      <c r="A51" s="10">
        <v>3</v>
      </c>
      <c r="B51" s="11" t="s">
        <v>143</v>
      </c>
      <c r="C51" s="4" t="s">
        <v>142</v>
      </c>
      <c r="D51" s="10" t="s">
        <v>38</v>
      </c>
      <c r="E51" s="85">
        <v>620675.583333333</v>
      </c>
      <c r="F51" s="909">
        <v>459010.5</v>
      </c>
      <c r="G51" s="916">
        <v>8380.22708333333</v>
      </c>
      <c r="H51" s="916">
        <f t="shared" si="7"/>
        <v>11475.2625</v>
      </c>
      <c r="I51" s="916">
        <f t="shared" si="8"/>
        <v>3095.03541666667</v>
      </c>
      <c r="J51" s="916">
        <f>H51*12</f>
        <v>137703.15</v>
      </c>
    </row>
    <row r="52" customHeight="1" spans="1:10">
      <c r="A52" s="10">
        <v>4</v>
      </c>
      <c r="B52" s="11" t="s">
        <v>144</v>
      </c>
      <c r="C52" s="4" t="s">
        <v>142</v>
      </c>
      <c r="D52" s="10" t="s">
        <v>49</v>
      </c>
      <c r="E52" s="85">
        <v>601396.833333333</v>
      </c>
      <c r="F52" s="909">
        <v>445995.833333333</v>
      </c>
      <c r="G52" s="916"/>
      <c r="H52" s="916">
        <f t="shared" si="7"/>
        <v>11149.8958333333</v>
      </c>
      <c r="I52" s="916">
        <f t="shared" si="8"/>
        <v>11149.8958333333</v>
      </c>
      <c r="J52" s="916"/>
    </row>
    <row r="53" customHeight="1" spans="1:10">
      <c r="A53" s="10">
        <v>5</v>
      </c>
      <c r="B53" s="14" t="s">
        <v>145</v>
      </c>
      <c r="C53" s="4" t="s">
        <v>142</v>
      </c>
      <c r="D53" s="10" t="s">
        <v>41</v>
      </c>
      <c r="E53" s="85">
        <v>582118.083333333</v>
      </c>
      <c r="F53" s="909">
        <v>432981.083333333</v>
      </c>
      <c r="G53" s="916"/>
      <c r="H53" s="916">
        <f t="shared" si="7"/>
        <v>10824.5270833333</v>
      </c>
      <c r="I53" s="916">
        <f t="shared" si="8"/>
        <v>10824.5270833333</v>
      </c>
      <c r="J53" s="916"/>
    </row>
    <row r="54" customHeight="1" spans="1:10">
      <c r="A54" s="10">
        <v>6</v>
      </c>
      <c r="B54" s="11" t="s">
        <v>149</v>
      </c>
      <c r="C54" s="4" t="s">
        <v>150</v>
      </c>
      <c r="D54" s="10" t="s">
        <v>77</v>
      </c>
      <c r="E54" s="85">
        <v>308901.5</v>
      </c>
      <c r="F54" s="909">
        <v>246171.166666667</v>
      </c>
      <c r="G54" s="916"/>
      <c r="H54" s="916">
        <f t="shared" si="7"/>
        <v>6154.27916666668</v>
      </c>
      <c r="I54" s="916">
        <f t="shared" si="8"/>
        <v>6154.27916666668</v>
      </c>
      <c r="J54" s="916"/>
    </row>
    <row r="55" customHeight="1" spans="1:10">
      <c r="A55" s="10">
        <v>7</v>
      </c>
      <c r="B55" s="11" t="s">
        <v>153</v>
      </c>
      <c r="C55" s="4" t="s">
        <v>150</v>
      </c>
      <c r="D55" s="10" t="s">
        <v>88</v>
      </c>
      <c r="E55" s="85">
        <v>270481.666666667</v>
      </c>
      <c r="F55" s="909">
        <v>222674.583333333</v>
      </c>
      <c r="G55" s="916"/>
      <c r="H55" s="916">
        <f t="shared" si="7"/>
        <v>5566.86458333332</v>
      </c>
      <c r="I55" s="916">
        <f t="shared" si="8"/>
        <v>5566.86458333332</v>
      </c>
      <c r="J55" s="916"/>
    </row>
    <row r="56" customHeight="1" spans="1:10">
      <c r="A56" s="10">
        <v>8</v>
      </c>
      <c r="B56" s="11" t="s">
        <v>154</v>
      </c>
      <c r="C56" s="4" t="s">
        <v>150</v>
      </c>
      <c r="D56" s="10" t="s">
        <v>88</v>
      </c>
      <c r="E56" s="85">
        <v>270481.666666667</v>
      </c>
      <c r="F56" s="909">
        <v>222674.583333333</v>
      </c>
      <c r="G56" s="916"/>
      <c r="H56" s="916">
        <f t="shared" si="7"/>
        <v>5566.86458333332</v>
      </c>
      <c r="I56" s="916">
        <f t="shared" si="8"/>
        <v>5566.86458333332</v>
      </c>
      <c r="J56" s="916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9">SUM(E49:E56)</f>
        <v>4037104.08333333</v>
      </c>
      <c r="F57" s="912">
        <f t="shared" si="9"/>
        <v>3043187.75</v>
      </c>
      <c r="G57" s="93">
        <f t="shared" si="9"/>
        <v>8380.22708333333</v>
      </c>
      <c r="H57" s="93">
        <f t="shared" si="9"/>
        <v>76079.69375</v>
      </c>
      <c r="I57" s="93">
        <f t="shared" si="9"/>
        <v>67699.4666666667</v>
      </c>
      <c r="J57" s="93">
        <f t="shared" si="9"/>
        <v>137703.15</v>
      </c>
    </row>
    <row r="58" customHeight="1" spans="1:10">
      <c r="A58" s="10"/>
      <c r="B58" s="22"/>
      <c r="C58" s="21"/>
      <c r="D58" s="21"/>
      <c r="E58" s="146"/>
      <c r="F58" s="913"/>
      <c r="G58" s="916"/>
      <c r="H58" s="916"/>
      <c r="I58" s="916"/>
      <c r="J58" s="916"/>
    </row>
    <row r="59" customHeight="1" spans="1:10">
      <c r="A59" s="10"/>
      <c r="B59" s="20" t="s">
        <v>156</v>
      </c>
      <c r="C59" s="21"/>
      <c r="D59" s="21"/>
      <c r="E59" s="146"/>
      <c r="F59" s="913"/>
      <c r="G59" s="916"/>
      <c r="H59" s="916"/>
      <c r="I59" s="916"/>
      <c r="J59" s="916"/>
    </row>
    <row r="60" customHeight="1" spans="1:10">
      <c r="A60" s="10">
        <v>1</v>
      </c>
      <c r="B60" s="11" t="s">
        <v>157</v>
      </c>
      <c r="C60" s="12" t="s">
        <v>158</v>
      </c>
      <c r="D60" s="15" t="s">
        <v>124</v>
      </c>
      <c r="E60" s="85">
        <v>1435720</v>
      </c>
      <c r="F60" s="909">
        <v>1086777.08333333</v>
      </c>
      <c r="G60" s="916"/>
      <c r="H60" s="916">
        <f t="shared" ref="H60:H71" si="10">0.025*F60</f>
        <v>27169.4270833333</v>
      </c>
      <c r="I60" s="916">
        <f t="shared" ref="I60:I71" si="11">H60-G60</f>
        <v>27169.4270833333</v>
      </c>
      <c r="J60" s="916"/>
    </row>
    <row r="61" customHeight="1" spans="1:10">
      <c r="A61" s="10">
        <v>2</v>
      </c>
      <c r="B61" s="11" t="s">
        <v>159</v>
      </c>
      <c r="C61" s="12" t="s">
        <v>160</v>
      </c>
      <c r="D61" s="15" t="s">
        <v>161</v>
      </c>
      <c r="E61" s="85">
        <v>620675.583333333</v>
      </c>
      <c r="F61" s="909">
        <v>459010.5</v>
      </c>
      <c r="G61" s="916"/>
      <c r="H61" s="916">
        <f t="shared" si="10"/>
        <v>11475.2625</v>
      </c>
      <c r="I61" s="916">
        <f t="shared" si="11"/>
        <v>11475.2625</v>
      </c>
      <c r="J61" s="916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2">SUM(E60:E61)</f>
        <v>2056395.58333333</v>
      </c>
      <c r="F62" s="912">
        <f t="shared" si="12"/>
        <v>1545787.58333333</v>
      </c>
      <c r="G62" s="93">
        <f t="shared" si="12"/>
        <v>0</v>
      </c>
      <c r="H62" s="93">
        <f t="shared" si="12"/>
        <v>38644.6895833333</v>
      </c>
      <c r="I62" s="93">
        <f t="shared" si="12"/>
        <v>38644.6895833333</v>
      </c>
      <c r="J62" s="93">
        <f t="shared" si="12"/>
        <v>0</v>
      </c>
    </row>
    <row r="63" customHeight="1" spans="1:10">
      <c r="A63" s="10"/>
      <c r="B63" s="20"/>
      <c r="C63" s="21"/>
      <c r="D63" s="21"/>
      <c r="E63" s="146"/>
      <c r="F63" s="913"/>
      <c r="G63" s="916"/>
      <c r="H63" s="916"/>
      <c r="I63" s="916"/>
      <c r="J63" s="916"/>
    </row>
    <row r="64" customHeight="1" spans="1:10">
      <c r="A64" s="10"/>
      <c r="B64" s="20" t="s">
        <v>162</v>
      </c>
      <c r="C64" s="21"/>
      <c r="D64" s="21"/>
      <c r="E64" s="146"/>
      <c r="F64" s="913"/>
      <c r="G64" s="916"/>
      <c r="H64" s="916"/>
      <c r="I64" s="916"/>
      <c r="J64" s="916"/>
    </row>
    <row r="65" customHeight="1" spans="1:10">
      <c r="A65" s="10">
        <v>1</v>
      </c>
      <c r="B65" s="14" t="s">
        <v>163</v>
      </c>
      <c r="C65" s="4" t="s">
        <v>164</v>
      </c>
      <c r="D65" s="10" t="s">
        <v>35</v>
      </c>
      <c r="E65" s="85">
        <v>762373.166666667</v>
      </c>
      <c r="F65" s="909">
        <v>554669.5</v>
      </c>
      <c r="G65" s="916">
        <v>10293.3979166667</v>
      </c>
      <c r="H65" s="916">
        <f t="shared" si="10"/>
        <v>13866.7375</v>
      </c>
      <c r="I65" s="916">
        <f t="shared" si="11"/>
        <v>3573.3395833333</v>
      </c>
      <c r="J65" s="916">
        <f>H65*12</f>
        <v>166400.85</v>
      </c>
    </row>
    <row r="66" customHeight="1" spans="1:10">
      <c r="A66" s="10">
        <v>2</v>
      </c>
      <c r="B66" s="11" t="s">
        <v>165</v>
      </c>
      <c r="C66" s="4" t="s">
        <v>51</v>
      </c>
      <c r="D66" s="10" t="s">
        <v>212</v>
      </c>
      <c r="E66" s="85">
        <v>456622.25</v>
      </c>
      <c r="F66" s="909">
        <v>347715.916666667</v>
      </c>
      <c r="G66" s="916"/>
      <c r="H66" s="916">
        <f t="shared" si="10"/>
        <v>8692.89791666667</v>
      </c>
      <c r="I66" s="916">
        <f t="shared" si="11"/>
        <v>8692.89791666667</v>
      </c>
      <c r="J66" s="916"/>
    </row>
    <row r="67" customHeight="1" spans="1:10">
      <c r="A67" s="10">
        <v>3</v>
      </c>
      <c r="B67" s="11" t="s">
        <v>169</v>
      </c>
      <c r="C67" s="4" t="s">
        <v>150</v>
      </c>
      <c r="D67" s="10" t="s">
        <v>69</v>
      </c>
      <c r="E67" s="85">
        <v>377895.166666667</v>
      </c>
      <c r="F67" s="909">
        <v>294662.916666667</v>
      </c>
      <c r="G67" s="916"/>
      <c r="H67" s="916">
        <f t="shared" si="10"/>
        <v>7366.57291666668</v>
      </c>
      <c r="I67" s="916">
        <f t="shared" si="11"/>
        <v>7366.57291666668</v>
      </c>
      <c r="J67" s="916"/>
    </row>
    <row r="68" customHeight="1" spans="1:10">
      <c r="A68" s="10">
        <v>4</v>
      </c>
      <c r="B68" s="11" t="s">
        <v>171</v>
      </c>
      <c r="C68" s="17" t="s">
        <v>71</v>
      </c>
      <c r="D68" s="10" t="s">
        <v>69</v>
      </c>
      <c r="E68" s="85">
        <v>377895.166666667</v>
      </c>
      <c r="F68" s="909">
        <v>294662.916666667</v>
      </c>
      <c r="G68" s="916"/>
      <c r="H68" s="916">
        <f t="shared" si="10"/>
        <v>7366.57291666668</v>
      </c>
      <c r="I68" s="916">
        <f t="shared" si="11"/>
        <v>7366.57291666668</v>
      </c>
      <c r="J68" s="916"/>
    </row>
    <row r="69" customHeight="1" spans="1:10">
      <c r="A69" s="10">
        <v>5</v>
      </c>
      <c r="B69" s="11" t="s">
        <v>172</v>
      </c>
      <c r="C69" s="17" t="s">
        <v>71</v>
      </c>
      <c r="D69" s="10" t="s">
        <v>69</v>
      </c>
      <c r="E69" s="85">
        <v>377895.166666667</v>
      </c>
      <c r="F69" s="909">
        <v>294662.916666667</v>
      </c>
      <c r="G69" s="916"/>
      <c r="H69" s="916">
        <f t="shared" si="10"/>
        <v>7366.57291666668</v>
      </c>
      <c r="I69" s="916">
        <f t="shared" si="11"/>
        <v>7366.57291666668</v>
      </c>
      <c r="J69" s="916"/>
    </row>
    <row r="70" customHeight="1" spans="1:10">
      <c r="A70" s="10">
        <v>6</v>
      </c>
      <c r="B70" s="11" t="s">
        <v>173</v>
      </c>
      <c r="C70" s="4" t="s">
        <v>553</v>
      </c>
      <c r="D70" s="10" t="s">
        <v>170</v>
      </c>
      <c r="E70" s="457">
        <v>390086.5</v>
      </c>
      <c r="F70" s="909">
        <v>302878.666666667</v>
      </c>
      <c r="G70" s="916"/>
      <c r="H70" s="916">
        <f t="shared" si="10"/>
        <v>7571.96666666667</v>
      </c>
      <c r="I70" s="916">
        <f t="shared" si="11"/>
        <v>7571.96666666667</v>
      </c>
      <c r="J70" s="916"/>
    </row>
    <row r="71" ht="21.6" customHeight="1" spans="1:10">
      <c r="A71" s="10">
        <v>7</v>
      </c>
      <c r="B71" s="11" t="s">
        <v>177</v>
      </c>
      <c r="C71" s="4" t="s">
        <v>150</v>
      </c>
      <c r="D71" s="10" t="s">
        <v>77</v>
      </c>
      <c r="E71" s="220">
        <v>308901.5</v>
      </c>
      <c r="F71" s="909">
        <v>246171.166666667</v>
      </c>
      <c r="G71" s="916"/>
      <c r="H71" s="916">
        <f t="shared" si="10"/>
        <v>6154.27916666668</v>
      </c>
      <c r="I71" s="916">
        <f t="shared" si="11"/>
        <v>6154.27916666668</v>
      </c>
      <c r="J71" s="916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3">SUM(E65:E71)</f>
        <v>3051668.91666667</v>
      </c>
      <c r="F72" s="912">
        <f t="shared" si="13"/>
        <v>2335424</v>
      </c>
      <c r="G72" s="93">
        <f t="shared" si="13"/>
        <v>10293.3979166667</v>
      </c>
      <c r="H72" s="93">
        <f t="shared" si="13"/>
        <v>58385.6</v>
      </c>
      <c r="I72" s="93">
        <f t="shared" si="13"/>
        <v>48092.2020833334</v>
      </c>
      <c r="J72" s="93">
        <f t="shared" si="13"/>
        <v>166400.85</v>
      </c>
    </row>
    <row r="73" customHeight="1" spans="1:10">
      <c r="A73" s="10"/>
      <c r="B73" s="22"/>
      <c r="C73" s="21"/>
      <c r="D73" s="21"/>
      <c r="E73" s="146"/>
      <c r="F73" s="913"/>
      <c r="G73" s="916"/>
      <c r="H73" s="916"/>
      <c r="I73" s="916"/>
      <c r="J73" s="916"/>
    </row>
    <row r="74" customHeight="1" spans="1:10">
      <c r="A74" s="10"/>
      <c r="B74" s="20" t="s">
        <v>180</v>
      </c>
      <c r="C74" s="21"/>
      <c r="D74" s="21"/>
      <c r="E74" s="146"/>
      <c r="F74" s="913"/>
      <c r="G74" s="916"/>
      <c r="H74" s="916"/>
      <c r="I74" s="916"/>
      <c r="J74" s="916"/>
    </row>
    <row r="75" customHeight="1" spans="1:10">
      <c r="A75" s="10">
        <v>1</v>
      </c>
      <c r="B75" s="11" t="s">
        <v>181</v>
      </c>
      <c r="C75" s="4" t="s">
        <v>182</v>
      </c>
      <c r="D75" s="10" t="s">
        <v>124</v>
      </c>
      <c r="E75" s="85">
        <v>1435720</v>
      </c>
      <c r="F75" s="909">
        <v>1086777.08333333</v>
      </c>
      <c r="G75" s="916"/>
      <c r="H75" s="916">
        <f t="shared" ref="H75:H80" si="14">0.025*F75</f>
        <v>27169.4270833333</v>
      </c>
      <c r="I75" s="916">
        <f t="shared" ref="I75:I80" si="15">H75-G75</f>
        <v>27169.4270833333</v>
      </c>
      <c r="J75" s="916"/>
    </row>
    <row r="76" customHeight="1" spans="1:10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916"/>
      <c r="H76" s="916">
        <f t="shared" si="14"/>
        <v>11149.8958333333</v>
      </c>
      <c r="I76" s="916">
        <f t="shared" si="15"/>
        <v>11149.8958333333</v>
      </c>
      <c r="J76" s="916"/>
    </row>
    <row r="77" customHeight="1" spans="1:10">
      <c r="A77" s="10">
        <v>3</v>
      </c>
      <c r="B77" s="11" t="s">
        <v>187</v>
      </c>
      <c r="C77" s="4" t="s">
        <v>188</v>
      </c>
      <c r="D77" s="15" t="s">
        <v>46</v>
      </c>
      <c r="E77" s="85">
        <v>470498</v>
      </c>
      <c r="F77" s="909">
        <v>357066.666666667</v>
      </c>
      <c r="G77" s="916">
        <v>6154.32291666667</v>
      </c>
      <c r="H77" s="916">
        <f t="shared" si="14"/>
        <v>8926.66666666668</v>
      </c>
      <c r="I77" s="916">
        <f t="shared" si="15"/>
        <v>2772.34375000001</v>
      </c>
      <c r="J77" s="916">
        <f>H77*12</f>
        <v>107120</v>
      </c>
    </row>
    <row r="78" customHeight="1" spans="1:10">
      <c r="A78" s="10">
        <v>4</v>
      </c>
      <c r="B78" s="11" t="s">
        <v>194</v>
      </c>
      <c r="C78" s="4" t="s">
        <v>195</v>
      </c>
      <c r="D78" s="10" t="s">
        <v>131</v>
      </c>
      <c r="E78" s="85">
        <v>365703.833333333</v>
      </c>
      <c r="F78" s="909">
        <v>286447.083333333</v>
      </c>
      <c r="G78" s="916"/>
      <c r="H78" s="916">
        <f t="shared" si="14"/>
        <v>7161.17708333333</v>
      </c>
      <c r="I78" s="916">
        <f t="shared" si="15"/>
        <v>7161.17708333333</v>
      </c>
      <c r="J78" s="916"/>
    </row>
    <row r="79" customHeight="1" spans="1:10">
      <c r="A79" s="10">
        <v>5</v>
      </c>
      <c r="B79" s="11" t="s">
        <v>198</v>
      </c>
      <c r="C79" s="4" t="s">
        <v>179</v>
      </c>
      <c r="D79" s="10" t="s">
        <v>99</v>
      </c>
      <c r="E79" s="85">
        <v>263165.333333333</v>
      </c>
      <c r="F79" s="909">
        <v>222674.583333333</v>
      </c>
      <c r="G79" s="916"/>
      <c r="H79" s="916">
        <f t="shared" si="14"/>
        <v>5566.86458333332</v>
      </c>
      <c r="I79" s="916">
        <f t="shared" si="15"/>
        <v>5566.86458333332</v>
      </c>
      <c r="J79" s="916"/>
    </row>
    <row r="80" customHeight="1" spans="1:10">
      <c r="A80" s="10">
        <v>6</v>
      </c>
      <c r="B80" s="11" t="s">
        <v>200</v>
      </c>
      <c r="C80" s="4" t="s">
        <v>201</v>
      </c>
      <c r="D80" s="10" t="s">
        <v>108</v>
      </c>
      <c r="E80" s="85">
        <v>230631.916666667</v>
      </c>
      <c r="F80" s="909">
        <v>196364.416666667</v>
      </c>
      <c r="G80" s="916"/>
      <c r="H80" s="916">
        <f t="shared" si="14"/>
        <v>4909.11041666668</v>
      </c>
      <c r="I80" s="916">
        <f t="shared" si="15"/>
        <v>4909.11041666668</v>
      </c>
      <c r="J80" s="916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6">SUM(E75:E80)</f>
        <v>3347837.16666667</v>
      </c>
      <c r="F81" s="912">
        <f t="shared" si="16"/>
        <v>2595325.66666666</v>
      </c>
      <c r="G81" s="93">
        <f t="shared" si="16"/>
        <v>6154.32291666667</v>
      </c>
      <c r="H81" s="93">
        <f t="shared" si="16"/>
        <v>64883.1416666666</v>
      </c>
      <c r="I81" s="93">
        <f t="shared" si="16"/>
        <v>58728.8187499999</v>
      </c>
      <c r="J81" s="93">
        <f t="shared" si="16"/>
        <v>107120</v>
      </c>
    </row>
    <row r="82" customHeight="1" spans="1:10">
      <c r="A82" s="10"/>
      <c r="B82" s="20"/>
      <c r="C82" s="21"/>
      <c r="D82" s="21"/>
      <c r="E82" s="146"/>
      <c r="F82" s="913"/>
      <c r="G82" s="916"/>
      <c r="H82" s="916"/>
      <c r="I82" s="916"/>
      <c r="J82" s="916"/>
    </row>
    <row r="83" customHeight="1" spans="1:10">
      <c r="A83" s="10"/>
      <c r="B83" s="20" t="s">
        <v>202</v>
      </c>
      <c r="C83" s="25"/>
      <c r="D83" s="21"/>
      <c r="E83" s="146"/>
      <c r="F83" s="913"/>
      <c r="G83" s="916"/>
      <c r="H83" s="916"/>
      <c r="I83" s="916"/>
      <c r="J83" s="916"/>
    </row>
    <row r="84" customHeight="1" spans="1:10">
      <c r="A84" s="10">
        <v>1</v>
      </c>
      <c r="B84" s="11" t="s">
        <v>203</v>
      </c>
      <c r="C84" s="4" t="s">
        <v>142</v>
      </c>
      <c r="D84" s="10" t="s">
        <v>505</v>
      </c>
      <c r="E84" s="85">
        <f>'[3]Annual &amp; Monthly'!$H$44</f>
        <v>1352042.66666667</v>
      </c>
      <c r="F84" s="909">
        <v>1025768.33333333</v>
      </c>
      <c r="G84" s="916">
        <v>18254.975</v>
      </c>
      <c r="H84" s="916">
        <f t="shared" ref="H84:H93" si="17">0.025*F84</f>
        <v>25644.2083333333</v>
      </c>
      <c r="I84" s="916">
        <f t="shared" ref="I84:I93" si="18">H84-G84</f>
        <v>7389.23333333325</v>
      </c>
      <c r="J84" s="916">
        <f>H84*12</f>
        <v>307730.499999999</v>
      </c>
    </row>
    <row r="85" customHeight="1" spans="1:10">
      <c r="A85" s="10">
        <v>2</v>
      </c>
      <c r="B85" s="11" t="s">
        <v>205</v>
      </c>
      <c r="C85" s="4" t="s">
        <v>206</v>
      </c>
      <c r="D85" s="10" t="s">
        <v>506</v>
      </c>
      <c r="E85" s="85">
        <v>716034</v>
      </c>
      <c r="F85" s="909">
        <v>523386.5</v>
      </c>
      <c r="G85" s="916"/>
      <c r="H85" s="916">
        <f t="shared" si="17"/>
        <v>13084.6625</v>
      </c>
      <c r="I85" s="916">
        <f t="shared" si="18"/>
        <v>13084.6625</v>
      </c>
      <c r="J85" s="916"/>
    </row>
    <row r="86" customHeight="1" spans="1:10">
      <c r="A86" s="10">
        <v>3</v>
      </c>
      <c r="B86" s="11" t="s">
        <v>208</v>
      </c>
      <c r="C86" s="4" t="s">
        <v>142</v>
      </c>
      <c r="D86" s="10" t="s">
        <v>49</v>
      </c>
      <c r="E86" s="85">
        <v>601396.833333333</v>
      </c>
      <c r="F86" s="909">
        <v>445995.833333333</v>
      </c>
      <c r="G86" s="916"/>
      <c r="H86" s="916">
        <f t="shared" si="17"/>
        <v>11149.8958333333</v>
      </c>
      <c r="I86" s="916">
        <f t="shared" si="18"/>
        <v>11149.8958333333</v>
      </c>
      <c r="J86" s="916"/>
    </row>
    <row r="87" ht="21.6" customHeight="1" spans="1:10">
      <c r="A87" s="10">
        <v>4</v>
      </c>
      <c r="B87" s="11" t="s">
        <v>209</v>
      </c>
      <c r="C87" s="4" t="s">
        <v>51</v>
      </c>
      <c r="D87" s="15" t="s">
        <v>212</v>
      </c>
      <c r="E87" s="85">
        <v>456622.25</v>
      </c>
      <c r="F87" s="909">
        <v>442746.5</v>
      </c>
      <c r="G87" s="916"/>
      <c r="H87" s="916">
        <f t="shared" si="17"/>
        <v>11068.6625</v>
      </c>
      <c r="I87" s="916">
        <f t="shared" si="18"/>
        <v>11068.6625</v>
      </c>
      <c r="J87" s="916"/>
    </row>
    <row r="88" ht="21.6" customHeight="1" spans="1:10">
      <c r="A88" s="10">
        <v>5</v>
      </c>
      <c r="B88" s="11" t="s">
        <v>210</v>
      </c>
      <c r="C88" s="4" t="s">
        <v>51</v>
      </c>
      <c r="D88" s="15" t="s">
        <v>212</v>
      </c>
      <c r="E88" s="85">
        <v>456622.25</v>
      </c>
      <c r="F88" s="909">
        <v>442746.5</v>
      </c>
      <c r="G88" s="916"/>
      <c r="H88" s="916">
        <f t="shared" si="17"/>
        <v>11068.6625</v>
      </c>
      <c r="I88" s="916">
        <f t="shared" si="18"/>
        <v>11068.6625</v>
      </c>
      <c r="J88" s="916"/>
    </row>
    <row r="89" ht="21.6" customHeight="1" spans="1:10">
      <c r="A89" s="10">
        <v>6</v>
      </c>
      <c r="B89" s="11" t="s">
        <v>211</v>
      </c>
      <c r="C89" s="12" t="s">
        <v>51</v>
      </c>
      <c r="D89" s="15" t="s">
        <v>52</v>
      </c>
      <c r="E89" s="85">
        <v>442746.5</v>
      </c>
      <c r="F89" s="909">
        <v>428870.75</v>
      </c>
      <c r="G89" s="916"/>
      <c r="H89" s="916">
        <f t="shared" si="17"/>
        <v>10721.76875</v>
      </c>
      <c r="I89" s="916">
        <f t="shared" si="18"/>
        <v>10721.76875</v>
      </c>
      <c r="J89" s="916"/>
    </row>
    <row r="90" ht="21.6" customHeight="1" spans="1:10">
      <c r="A90" s="10">
        <v>7</v>
      </c>
      <c r="B90" s="11" t="s">
        <v>213</v>
      </c>
      <c r="C90" s="17" t="s">
        <v>71</v>
      </c>
      <c r="D90" s="15" t="s">
        <v>69</v>
      </c>
      <c r="E90" s="85">
        <v>377895.166666667</v>
      </c>
      <c r="F90" s="909">
        <v>294662.916666667</v>
      </c>
      <c r="G90" s="916"/>
      <c r="H90" s="916">
        <f t="shared" si="17"/>
        <v>7366.57291666668</v>
      </c>
      <c r="I90" s="916">
        <f t="shared" si="18"/>
        <v>7366.57291666668</v>
      </c>
      <c r="J90" s="916"/>
    </row>
    <row r="91" ht="21.6" customHeight="1" spans="1:10">
      <c r="A91" s="10">
        <v>8</v>
      </c>
      <c r="B91" s="11" t="s">
        <v>214</v>
      </c>
      <c r="C91" s="17" t="s">
        <v>167</v>
      </c>
      <c r="D91" s="15" t="s">
        <v>63</v>
      </c>
      <c r="E91" s="85">
        <v>403137.916666667</v>
      </c>
      <c r="F91" s="909">
        <v>311673.25</v>
      </c>
      <c r="G91" s="916">
        <v>5259.74375</v>
      </c>
      <c r="H91" s="916">
        <f t="shared" si="17"/>
        <v>7791.83125</v>
      </c>
      <c r="I91" s="916">
        <f t="shared" si="18"/>
        <v>2532.0875</v>
      </c>
      <c r="J91" s="916">
        <f>H91*12</f>
        <v>93501.975</v>
      </c>
    </row>
    <row r="92" ht="21.6" customHeight="1" spans="1:10">
      <c r="A92" s="10">
        <v>9</v>
      </c>
      <c r="B92" s="11" t="s">
        <v>217</v>
      </c>
      <c r="C92" s="4" t="s">
        <v>218</v>
      </c>
      <c r="D92" s="10" t="s">
        <v>77</v>
      </c>
      <c r="E92" s="220">
        <v>308901.5</v>
      </c>
      <c r="F92" s="909">
        <v>246171.166666667</v>
      </c>
      <c r="G92" s="916"/>
      <c r="H92" s="916">
        <f t="shared" si="17"/>
        <v>6154.27916666668</v>
      </c>
      <c r="I92" s="916">
        <f t="shared" si="18"/>
        <v>6154.27916666668</v>
      </c>
      <c r="J92" s="916"/>
    </row>
    <row r="93" ht="21.6" customHeight="1" spans="1:10">
      <c r="A93" s="10">
        <v>10</v>
      </c>
      <c r="B93" s="11" t="s">
        <v>221</v>
      </c>
      <c r="C93" s="17" t="s">
        <v>222</v>
      </c>
      <c r="D93" s="15" t="s">
        <v>105</v>
      </c>
      <c r="E93" s="220">
        <v>236804.083333333</v>
      </c>
      <c r="F93" s="909">
        <v>200549.416666667</v>
      </c>
      <c r="G93" s="916"/>
      <c r="H93" s="916">
        <f t="shared" si="17"/>
        <v>5013.73541666668</v>
      </c>
      <c r="I93" s="916">
        <f t="shared" si="18"/>
        <v>5013.73541666668</v>
      </c>
      <c r="J93" s="916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19">SUM(E84:E93)</f>
        <v>5352203.16666667</v>
      </c>
      <c r="F94" s="912">
        <f t="shared" si="19"/>
        <v>4362571.16666666</v>
      </c>
      <c r="G94" s="93">
        <f t="shared" si="19"/>
        <v>23514.71875</v>
      </c>
      <c r="H94" s="93">
        <f t="shared" si="19"/>
        <v>109064.279166667</v>
      </c>
      <c r="I94" s="93">
        <f t="shared" si="19"/>
        <v>85549.5604166666</v>
      </c>
      <c r="J94" s="93">
        <f t="shared" si="19"/>
        <v>401232.474999999</v>
      </c>
    </row>
    <row r="95" customHeight="1" spans="1:10">
      <c r="A95" s="10"/>
      <c r="B95" s="22"/>
      <c r="C95" s="21"/>
      <c r="D95" s="21"/>
      <c r="E95" s="146"/>
      <c r="F95" s="913"/>
      <c r="G95" s="916"/>
      <c r="H95" s="916"/>
      <c r="I95" s="916"/>
      <c r="J95" s="916"/>
    </row>
    <row r="96" customHeight="1" spans="1:10">
      <c r="A96" s="10"/>
      <c r="B96" s="20" t="s">
        <v>224</v>
      </c>
      <c r="C96" s="21"/>
      <c r="D96" s="21"/>
      <c r="E96" s="146"/>
      <c r="F96" s="913"/>
      <c r="G96" s="916"/>
      <c r="H96" s="916"/>
      <c r="I96" s="916"/>
      <c r="J96" s="916"/>
    </row>
    <row r="97" customHeight="1" spans="1:10">
      <c r="A97" s="10">
        <v>1</v>
      </c>
      <c r="B97" s="14" t="s">
        <v>225</v>
      </c>
      <c r="C97" s="4" t="s">
        <v>554</v>
      </c>
      <c r="D97" s="16" t="s">
        <v>140</v>
      </c>
      <c r="E97" s="85">
        <v>1393881.33333333</v>
      </c>
      <c r="F97" s="909">
        <v>1056272.83333333</v>
      </c>
      <c r="G97" s="916">
        <v>18254.975</v>
      </c>
      <c r="H97" s="916">
        <f t="shared" ref="H97:H101" si="20">0.025*F97</f>
        <v>26406.8208333333</v>
      </c>
      <c r="I97" s="916">
        <f t="shared" ref="I97:I101" si="21">H97-G97</f>
        <v>8151.84583333325</v>
      </c>
      <c r="J97" s="916">
        <f t="shared" ref="J97:J101" si="22">H97*12</f>
        <v>316881.849999999</v>
      </c>
    </row>
    <row r="98" customHeight="1" spans="1:10">
      <c r="A98" s="10">
        <v>2</v>
      </c>
      <c r="B98" s="11" t="s">
        <v>227</v>
      </c>
      <c r="C98" s="4" t="s">
        <v>228</v>
      </c>
      <c r="D98" s="15" t="s">
        <v>46</v>
      </c>
      <c r="E98" s="85">
        <v>470498</v>
      </c>
      <c r="F98" s="909">
        <v>357066.666666667</v>
      </c>
      <c r="G98" s="916"/>
      <c r="H98" s="916">
        <f t="shared" si="20"/>
        <v>8926.66666666668</v>
      </c>
      <c r="I98" s="916">
        <f t="shared" si="21"/>
        <v>8926.66666666668</v>
      </c>
      <c r="J98" s="916">
        <f t="shared" si="22"/>
        <v>107120</v>
      </c>
    </row>
    <row r="99" customHeight="1" spans="1:10">
      <c r="A99" s="10">
        <v>3</v>
      </c>
      <c r="B99" s="11" t="s">
        <v>229</v>
      </c>
      <c r="C99" s="12" t="s">
        <v>230</v>
      </c>
      <c r="D99" s="15" t="s">
        <v>63</v>
      </c>
      <c r="E99" s="85">
        <v>403137.916666667</v>
      </c>
      <c r="F99" s="909">
        <v>311673.25</v>
      </c>
      <c r="G99" s="916">
        <v>5967.30625</v>
      </c>
      <c r="H99" s="916">
        <f t="shared" si="20"/>
        <v>7791.83125</v>
      </c>
      <c r="I99" s="916">
        <f t="shared" si="21"/>
        <v>1824.525</v>
      </c>
      <c r="J99" s="916">
        <f t="shared" si="22"/>
        <v>93501.975</v>
      </c>
    </row>
    <row r="100" customHeight="1" spans="1:10">
      <c r="A100" s="10">
        <v>4</v>
      </c>
      <c r="B100" s="11" t="s">
        <v>233</v>
      </c>
      <c r="C100" s="4" t="s">
        <v>555</v>
      </c>
      <c r="D100" s="15" t="s">
        <v>170</v>
      </c>
      <c r="E100" s="85">
        <v>390086.5</v>
      </c>
      <c r="F100" s="909">
        <v>302878.666666667</v>
      </c>
      <c r="G100" s="916"/>
      <c r="H100" s="916">
        <f t="shared" si="20"/>
        <v>7571.96666666667</v>
      </c>
      <c r="I100" s="916">
        <f t="shared" si="21"/>
        <v>7571.96666666667</v>
      </c>
      <c r="J100" s="916">
        <f t="shared" si="22"/>
        <v>90863.6000000001</v>
      </c>
    </row>
    <row r="101" customHeight="1" spans="1:10">
      <c r="A101" s="10">
        <v>5</v>
      </c>
      <c r="B101" s="11" t="s">
        <v>234</v>
      </c>
      <c r="C101" s="4" t="s">
        <v>197</v>
      </c>
      <c r="D101" s="15" t="s">
        <v>77</v>
      </c>
      <c r="E101" s="220">
        <v>308901.5</v>
      </c>
      <c r="F101" s="909">
        <v>246171.166666667</v>
      </c>
      <c r="G101" s="916"/>
      <c r="H101" s="916">
        <f t="shared" si="20"/>
        <v>6154.27916666668</v>
      </c>
      <c r="I101" s="916">
        <f t="shared" si="21"/>
        <v>6154.27916666668</v>
      </c>
      <c r="J101" s="916">
        <f t="shared" si="22"/>
        <v>73851.3500000001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23">SUM(E97:E101)</f>
        <v>2966505.25</v>
      </c>
      <c r="F102" s="912">
        <f t="shared" si="23"/>
        <v>2274062.58333333</v>
      </c>
      <c r="G102" s="93">
        <f t="shared" si="23"/>
        <v>24222.28125</v>
      </c>
      <c r="H102" s="93">
        <f t="shared" si="23"/>
        <v>56851.5645833333</v>
      </c>
      <c r="I102" s="93">
        <f t="shared" si="23"/>
        <v>32629.2833333333</v>
      </c>
      <c r="J102" s="93">
        <f t="shared" si="23"/>
        <v>682218.774999999</v>
      </c>
    </row>
    <row r="103" customHeight="1" spans="1:10">
      <c r="A103" s="4"/>
      <c r="B103" s="22"/>
      <c r="C103" s="21"/>
      <c r="D103" s="26"/>
      <c r="E103" s="146"/>
      <c r="F103" s="913"/>
      <c r="G103" s="916"/>
      <c r="H103" s="916"/>
      <c r="I103" s="916"/>
      <c r="J103" s="916"/>
    </row>
    <row r="104" customHeight="1" spans="1:10">
      <c r="A104" s="4"/>
      <c r="B104" s="20" t="s">
        <v>237</v>
      </c>
      <c r="C104" s="4"/>
      <c r="D104" s="4"/>
      <c r="E104" s="4"/>
      <c r="F104" s="917"/>
      <c r="G104" s="916"/>
      <c r="H104" s="916"/>
      <c r="I104" s="916"/>
      <c r="J104" s="916"/>
    </row>
    <row r="105" customHeight="1" spans="1:10">
      <c r="A105" s="4">
        <v>1</v>
      </c>
      <c r="B105" s="11" t="s">
        <v>556</v>
      </c>
      <c r="C105" s="12" t="s">
        <v>239</v>
      </c>
      <c r="D105" s="15" t="s">
        <v>124</v>
      </c>
      <c r="E105" s="85">
        <v>1435720</v>
      </c>
      <c r="F105" s="909">
        <v>1086777.08333333</v>
      </c>
      <c r="G105" s="916">
        <v>0</v>
      </c>
      <c r="H105" s="916">
        <f t="shared" ref="H105:H111" si="24">0.025*F105</f>
        <v>27169.4270833333</v>
      </c>
      <c r="I105" s="916">
        <f t="shared" ref="I105:I111" si="25">H105-G105</f>
        <v>27169.4270833333</v>
      </c>
      <c r="J105" s="916"/>
    </row>
    <row r="106" customHeight="1" spans="1:10">
      <c r="A106" s="4">
        <v>2</v>
      </c>
      <c r="B106" s="11" t="s">
        <v>240</v>
      </c>
      <c r="C106" s="4" t="s">
        <v>241</v>
      </c>
      <c r="D106" s="16" t="s">
        <v>35</v>
      </c>
      <c r="E106" s="85">
        <v>762373.166666667</v>
      </c>
      <c r="F106" s="909">
        <v>554669.5</v>
      </c>
      <c r="G106" s="916">
        <v>10293.3979166667</v>
      </c>
      <c r="H106" s="916">
        <f t="shared" si="24"/>
        <v>13866.7375</v>
      </c>
      <c r="I106" s="916">
        <f t="shared" si="25"/>
        <v>3573.3395833333</v>
      </c>
      <c r="J106" s="916">
        <f>H106*12</f>
        <v>166400.85</v>
      </c>
    </row>
    <row r="107" customHeight="1" spans="1:10">
      <c r="A107" s="4">
        <v>3</v>
      </c>
      <c r="B107" s="11" t="s">
        <v>242</v>
      </c>
      <c r="C107" s="4" t="s">
        <v>557</v>
      </c>
      <c r="D107" s="10" t="s">
        <v>55</v>
      </c>
      <c r="E107" s="85">
        <v>441804.916666667</v>
      </c>
      <c r="F107" s="909">
        <v>337730.833333333</v>
      </c>
      <c r="G107" s="916">
        <v>5954.61041666667</v>
      </c>
      <c r="H107" s="916">
        <f t="shared" si="24"/>
        <v>8443.27083333333</v>
      </c>
      <c r="I107" s="916">
        <f t="shared" si="25"/>
        <v>2488.66041666666</v>
      </c>
      <c r="J107" s="916">
        <f>H107*12</f>
        <v>101319.25</v>
      </c>
    </row>
    <row r="108" customHeight="1" spans="1:10">
      <c r="A108" s="4">
        <v>4</v>
      </c>
      <c r="B108" s="11" t="s">
        <v>244</v>
      </c>
      <c r="C108" s="4" t="s">
        <v>557</v>
      </c>
      <c r="D108" s="10" t="s">
        <v>55</v>
      </c>
      <c r="E108" s="85">
        <v>441804.916666667</v>
      </c>
      <c r="F108" s="909">
        <v>337730.833333333</v>
      </c>
      <c r="G108" s="916"/>
      <c r="H108" s="916">
        <f t="shared" si="24"/>
        <v>8443.27083333333</v>
      </c>
      <c r="I108" s="916">
        <f t="shared" si="25"/>
        <v>8443.27083333333</v>
      </c>
      <c r="J108" s="916"/>
    </row>
    <row r="109" customHeight="1" spans="1:10">
      <c r="A109" s="4">
        <v>5</v>
      </c>
      <c r="B109" s="11" t="s">
        <v>247</v>
      </c>
      <c r="C109" s="4" t="s">
        <v>248</v>
      </c>
      <c r="D109" s="15" t="s">
        <v>507</v>
      </c>
      <c r="E109" s="220">
        <v>255320.583333333</v>
      </c>
      <c r="F109" s="909">
        <v>213104.416666667</v>
      </c>
      <c r="G109" s="916"/>
      <c r="H109" s="916">
        <f t="shared" si="24"/>
        <v>5327.61041666668</v>
      </c>
      <c r="I109" s="916">
        <f t="shared" si="25"/>
        <v>5327.61041666668</v>
      </c>
      <c r="J109" s="916"/>
    </row>
    <row r="110" customHeight="1" spans="1:10">
      <c r="A110" s="4">
        <v>6</v>
      </c>
      <c r="B110" s="18" t="s">
        <v>250</v>
      </c>
      <c r="C110" s="4" t="s">
        <v>248</v>
      </c>
      <c r="D110" s="10" t="s">
        <v>344</v>
      </c>
      <c r="E110" s="220">
        <v>255849</v>
      </c>
      <c r="F110" s="909">
        <v>212792.166666667</v>
      </c>
      <c r="G110" s="916"/>
      <c r="H110" s="916">
        <f t="shared" si="24"/>
        <v>5319.80416666668</v>
      </c>
      <c r="I110" s="916">
        <f t="shared" si="25"/>
        <v>5319.80416666668</v>
      </c>
      <c r="J110" s="916"/>
    </row>
    <row r="111" customHeight="1" spans="1:10">
      <c r="A111" s="4">
        <v>7</v>
      </c>
      <c r="B111" s="18" t="s">
        <v>251</v>
      </c>
      <c r="C111" s="4" t="s">
        <v>248</v>
      </c>
      <c r="D111" s="15" t="s">
        <v>105</v>
      </c>
      <c r="E111" s="220">
        <v>236804.083333333</v>
      </c>
      <c r="F111" s="909">
        <v>200549.416666667</v>
      </c>
      <c r="G111" s="916"/>
      <c r="H111" s="916">
        <f t="shared" si="24"/>
        <v>5013.73541666668</v>
      </c>
      <c r="I111" s="916">
        <f t="shared" si="25"/>
        <v>5013.73541666668</v>
      </c>
      <c r="J111" s="916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6">SUM(E105:E111)</f>
        <v>3829676.66666667</v>
      </c>
      <c r="F112" s="918">
        <f t="shared" si="26"/>
        <v>2943354.25</v>
      </c>
      <c r="G112" s="223">
        <f t="shared" si="26"/>
        <v>16248.0083333334</v>
      </c>
      <c r="H112" s="223">
        <f t="shared" si="26"/>
        <v>73583.8562499999</v>
      </c>
      <c r="I112" s="223">
        <f t="shared" si="26"/>
        <v>57335.8479166666</v>
      </c>
      <c r="J112" s="223">
        <f t="shared" si="26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6"/>
      <c r="H113" s="916"/>
      <c r="I113" s="916"/>
      <c r="J113" s="916"/>
    </row>
    <row r="114" customHeight="1" spans="1:10">
      <c r="A114" s="10"/>
      <c r="B114" s="20" t="s">
        <v>255</v>
      </c>
      <c r="C114" s="21"/>
      <c r="D114" s="21"/>
      <c r="E114" s="146"/>
      <c r="F114" s="913"/>
      <c r="G114" s="916"/>
      <c r="H114" s="916"/>
      <c r="I114" s="916"/>
      <c r="J114" s="916"/>
    </row>
    <row r="115" ht="18.75" customHeight="1" spans="1:10">
      <c r="A115" s="10">
        <v>1</v>
      </c>
      <c r="B115" s="11" t="s">
        <v>257</v>
      </c>
      <c r="C115" s="4" t="s">
        <v>258</v>
      </c>
      <c r="D115" s="15" t="s">
        <v>170</v>
      </c>
      <c r="E115" s="85">
        <v>390086.5</v>
      </c>
      <c r="F115" s="909">
        <v>302878.666666667</v>
      </c>
      <c r="G115" s="916"/>
      <c r="H115" s="916">
        <f t="shared" ref="H115:H117" si="27">0.025*F115</f>
        <v>7571.96666666667</v>
      </c>
      <c r="I115" s="916">
        <f t="shared" ref="I115:I117" si="28">H115-G115</f>
        <v>7571.96666666667</v>
      </c>
      <c r="J115" s="916"/>
    </row>
    <row r="116" ht="18.75" customHeight="1" spans="1:10">
      <c r="A116" s="10">
        <v>2</v>
      </c>
      <c r="B116" s="11" t="s">
        <v>260</v>
      </c>
      <c r="C116" s="4" t="s">
        <v>71</v>
      </c>
      <c r="D116" s="15" t="s">
        <v>69</v>
      </c>
      <c r="E116" s="85">
        <v>377895.166666667</v>
      </c>
      <c r="F116" s="909">
        <v>294662.916666667</v>
      </c>
      <c r="G116" s="916"/>
      <c r="H116" s="916">
        <f t="shared" si="27"/>
        <v>7366.57291666668</v>
      </c>
      <c r="I116" s="916">
        <f t="shared" si="28"/>
        <v>7366.57291666668</v>
      </c>
      <c r="J116" s="916"/>
    </row>
    <row r="117" customHeight="1" spans="1:10">
      <c r="A117" s="10">
        <v>3</v>
      </c>
      <c r="B117" s="11" t="s">
        <v>190</v>
      </c>
      <c r="C117" s="12" t="s">
        <v>191</v>
      </c>
      <c r="D117" s="15" t="s">
        <v>66</v>
      </c>
      <c r="E117" s="85">
        <v>390248.916666667</v>
      </c>
      <c r="F117" s="909">
        <v>302987.416666667</v>
      </c>
      <c r="G117" s="916">
        <v>5967.30625</v>
      </c>
      <c r="H117" s="916">
        <f t="shared" si="27"/>
        <v>7574.68541666667</v>
      </c>
      <c r="I117" s="916">
        <f t="shared" si="28"/>
        <v>1607.37916666667</v>
      </c>
      <c r="J117" s="916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29">SUM(E115:E117)</f>
        <v>1158230.58333333</v>
      </c>
      <c r="F118" s="912">
        <f t="shared" si="29"/>
        <v>900529.000000001</v>
      </c>
      <c r="G118" s="93">
        <f t="shared" si="29"/>
        <v>5967.30625</v>
      </c>
      <c r="H118" s="93">
        <f t="shared" si="29"/>
        <v>22513.225</v>
      </c>
      <c r="I118" s="93">
        <f t="shared" si="29"/>
        <v>16545.91875</v>
      </c>
      <c r="J118" s="93">
        <f t="shared" si="29"/>
        <v>90896.2250000001</v>
      </c>
    </row>
    <row r="119" ht="24.75" customHeight="1" spans="1:10">
      <c r="A119" s="4"/>
      <c r="B119" s="20"/>
      <c r="C119" s="21"/>
      <c r="D119" s="26"/>
      <c r="E119" s="93"/>
      <c r="F119" s="912"/>
      <c r="G119" s="916"/>
      <c r="H119" s="916"/>
      <c r="I119" s="916"/>
      <c r="J119" s="916"/>
    </row>
    <row r="120" ht="24.75" customHeight="1" spans="1:10">
      <c r="A120" s="10"/>
      <c r="B120" s="20" t="s">
        <v>267</v>
      </c>
      <c r="C120" s="21"/>
      <c r="D120" s="21"/>
      <c r="E120" s="146"/>
      <c r="F120" s="913"/>
      <c r="G120" s="916"/>
      <c r="H120" s="916"/>
      <c r="I120" s="916"/>
      <c r="J120" s="916"/>
    </row>
    <row r="121" ht="24.75" customHeight="1" spans="1:10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09">
        <v>187994.416666667</v>
      </c>
      <c r="G121" s="916"/>
      <c r="H121" s="916">
        <f t="shared" ref="H121:H135" si="30">0.025*F121</f>
        <v>4699.86041666668</v>
      </c>
      <c r="I121" s="916">
        <f t="shared" ref="I121:I135" si="31">H121-G121</f>
        <v>4699.86041666668</v>
      </c>
      <c r="J121" s="916"/>
    </row>
    <row r="122" ht="24.75" customHeight="1" spans="1:10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09">
        <v>187994.416666667</v>
      </c>
      <c r="G122" s="916"/>
      <c r="H122" s="916">
        <f t="shared" si="30"/>
        <v>4699.86041666668</v>
      </c>
      <c r="I122" s="916">
        <f t="shared" si="31"/>
        <v>4699.86041666668</v>
      </c>
      <c r="J122" s="916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32">SUM(E121:E122)</f>
        <v>436575.166666666</v>
      </c>
      <c r="F123" s="912">
        <f t="shared" si="32"/>
        <v>375988.833333334</v>
      </c>
      <c r="G123" s="93">
        <f t="shared" si="32"/>
        <v>0</v>
      </c>
      <c r="H123" s="93">
        <f t="shared" si="32"/>
        <v>9399.72083333335</v>
      </c>
      <c r="I123" s="93">
        <f t="shared" si="32"/>
        <v>9399.72083333335</v>
      </c>
      <c r="J123" s="93">
        <f t="shared" si="32"/>
        <v>0</v>
      </c>
    </row>
    <row r="124" customHeight="1" spans="1:10">
      <c r="A124" s="4"/>
      <c r="B124" s="20"/>
      <c r="C124" s="21"/>
      <c r="D124" s="26"/>
      <c r="E124" s="93"/>
      <c r="F124" s="912"/>
      <c r="G124" s="916"/>
      <c r="H124" s="916"/>
      <c r="I124" s="916"/>
      <c r="J124" s="916"/>
    </row>
    <row r="125" customHeight="1" spans="1:10">
      <c r="A125" s="4"/>
      <c r="B125" s="20" t="s">
        <v>279</v>
      </c>
      <c r="C125" s="21"/>
      <c r="D125" s="21"/>
      <c r="E125" s="146"/>
      <c r="F125" s="913"/>
      <c r="G125" s="916"/>
      <c r="H125" s="916"/>
      <c r="I125" s="916"/>
      <c r="J125" s="916"/>
    </row>
    <row r="126" customHeight="1" spans="1:10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09">
        <v>1086777.08333333</v>
      </c>
      <c r="G126" s="916">
        <v>19384.7666666667</v>
      </c>
      <c r="H126" s="916">
        <f t="shared" si="30"/>
        <v>27169.4270833333</v>
      </c>
      <c r="I126" s="916">
        <f t="shared" si="31"/>
        <v>7784.66041666655</v>
      </c>
      <c r="J126" s="916">
        <f t="shared" ref="J126:J135" si="33">H126*12</f>
        <v>326033.124999999</v>
      </c>
    </row>
    <row r="127" customHeight="1" spans="1:10">
      <c r="A127" s="4">
        <v>2</v>
      </c>
      <c r="B127" s="11" t="s">
        <v>282</v>
      </c>
      <c r="C127" s="12" t="s">
        <v>558</v>
      </c>
      <c r="D127" s="15" t="s">
        <v>35</v>
      </c>
      <c r="E127" s="85">
        <v>762373.166666667</v>
      </c>
      <c r="F127" s="909">
        <v>554669.5</v>
      </c>
      <c r="G127" s="916">
        <v>9980.56666666667</v>
      </c>
      <c r="H127" s="916">
        <f t="shared" si="30"/>
        <v>13866.7375</v>
      </c>
      <c r="I127" s="916">
        <f t="shared" si="31"/>
        <v>3886.17083333333</v>
      </c>
      <c r="J127" s="916">
        <f t="shared" si="33"/>
        <v>166400.85</v>
      </c>
    </row>
    <row r="128" customHeight="1" spans="1:10">
      <c r="A128" s="4">
        <v>3</v>
      </c>
      <c r="B128" s="14" t="s">
        <v>284</v>
      </c>
      <c r="C128" s="12" t="s">
        <v>559</v>
      </c>
      <c r="D128" s="15" t="s">
        <v>506</v>
      </c>
      <c r="E128" s="85">
        <v>716034</v>
      </c>
      <c r="F128" s="909">
        <v>523386.5</v>
      </c>
      <c r="G128" s="916">
        <v>9980.56666666667</v>
      </c>
      <c r="H128" s="916">
        <f t="shared" si="30"/>
        <v>13084.6625</v>
      </c>
      <c r="I128" s="916">
        <f t="shared" si="31"/>
        <v>3104.09583333333</v>
      </c>
      <c r="J128" s="916">
        <f t="shared" si="33"/>
        <v>157015.95</v>
      </c>
    </row>
    <row r="129" customHeight="1" spans="1:10">
      <c r="A129" s="4">
        <v>4</v>
      </c>
      <c r="B129" s="11" t="s">
        <v>287</v>
      </c>
      <c r="C129" s="12" t="s">
        <v>289</v>
      </c>
      <c r="D129" s="15" t="s">
        <v>189</v>
      </c>
      <c r="E129" s="85">
        <v>484373.75</v>
      </c>
      <c r="F129" s="909">
        <v>366417.5</v>
      </c>
      <c r="G129" s="916">
        <v>0</v>
      </c>
      <c r="H129" s="916">
        <f t="shared" si="30"/>
        <v>9160.4375</v>
      </c>
      <c r="I129" s="916">
        <f t="shared" si="31"/>
        <v>9160.4375</v>
      </c>
      <c r="J129" s="916">
        <f t="shared" si="33"/>
        <v>109925.25</v>
      </c>
    </row>
    <row r="130" customHeight="1" spans="1:10">
      <c r="A130" s="4">
        <v>5</v>
      </c>
      <c r="B130" s="11" t="s">
        <v>288</v>
      </c>
      <c r="C130" s="12" t="s">
        <v>560</v>
      </c>
      <c r="D130" s="15" t="s">
        <v>212</v>
      </c>
      <c r="E130" s="85">
        <v>456622.25</v>
      </c>
      <c r="F130" s="909">
        <v>347715.916666667</v>
      </c>
      <c r="G130" s="916">
        <v>5967.30625</v>
      </c>
      <c r="H130" s="916">
        <f t="shared" si="30"/>
        <v>8692.89791666667</v>
      </c>
      <c r="I130" s="916">
        <f t="shared" si="31"/>
        <v>2725.59166666667</v>
      </c>
      <c r="J130" s="916">
        <f t="shared" si="33"/>
        <v>104314.775</v>
      </c>
    </row>
    <row r="131" customHeight="1" spans="1:10">
      <c r="A131" s="4">
        <v>6</v>
      </c>
      <c r="B131" s="11" t="s">
        <v>290</v>
      </c>
      <c r="C131" s="12" t="s">
        <v>289</v>
      </c>
      <c r="D131" s="15" t="s">
        <v>46</v>
      </c>
      <c r="E131" s="85">
        <v>470498</v>
      </c>
      <c r="F131" s="909">
        <v>357066.666666667</v>
      </c>
      <c r="G131" s="916">
        <v>6154.32291666667</v>
      </c>
      <c r="H131" s="916">
        <f t="shared" si="30"/>
        <v>8926.66666666668</v>
      </c>
      <c r="I131" s="916">
        <f t="shared" si="31"/>
        <v>2772.34375000001</v>
      </c>
      <c r="J131" s="916">
        <f t="shared" si="33"/>
        <v>107120</v>
      </c>
    </row>
    <row r="132" customHeight="1" spans="1:10">
      <c r="A132" s="4">
        <v>7</v>
      </c>
      <c r="B132" s="11" t="s">
        <v>293</v>
      </c>
      <c r="C132" s="12" t="s">
        <v>561</v>
      </c>
      <c r="D132" s="10" t="s">
        <v>85</v>
      </c>
      <c r="E132" s="85">
        <v>277798</v>
      </c>
      <c r="F132" s="909">
        <v>227615.75</v>
      </c>
      <c r="G132" s="916"/>
      <c r="H132" s="916">
        <f t="shared" si="30"/>
        <v>5690.39375</v>
      </c>
      <c r="I132" s="916">
        <f t="shared" si="31"/>
        <v>5690.39375</v>
      </c>
      <c r="J132" s="916">
        <f t="shared" si="33"/>
        <v>68284.725</v>
      </c>
    </row>
    <row r="133" customHeight="1" spans="1:10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09">
        <v>196364.416666667</v>
      </c>
      <c r="G133" s="916">
        <v>0</v>
      </c>
      <c r="H133" s="916">
        <f t="shared" si="30"/>
        <v>4909.11041666668</v>
      </c>
      <c r="I133" s="916">
        <f t="shared" si="31"/>
        <v>4909.11041666668</v>
      </c>
      <c r="J133" s="916">
        <f t="shared" si="33"/>
        <v>58909.3250000001</v>
      </c>
    </row>
    <row r="134" customHeight="1" spans="1:10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09">
        <v>196364.416666667</v>
      </c>
      <c r="G134" s="916">
        <v>0</v>
      </c>
      <c r="H134" s="916">
        <f t="shared" si="30"/>
        <v>4909.11041666668</v>
      </c>
      <c r="I134" s="916">
        <f t="shared" si="31"/>
        <v>4909.11041666668</v>
      </c>
      <c r="J134" s="916">
        <f t="shared" si="33"/>
        <v>58909.3250000001</v>
      </c>
    </row>
    <row r="135" customHeight="1" spans="1:10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09">
        <v>192179.416666667</v>
      </c>
      <c r="G135" s="916"/>
      <c r="H135" s="916">
        <f t="shared" si="30"/>
        <v>4804.48541666668</v>
      </c>
      <c r="I135" s="916">
        <f t="shared" si="31"/>
        <v>4804.48541666668</v>
      </c>
      <c r="J135" s="916">
        <f t="shared" si="33"/>
        <v>57653.8250000001</v>
      </c>
    </row>
    <row r="136" ht="28.5" customHeight="1" spans="1:10">
      <c r="A136" s="4"/>
      <c r="B136" s="20" t="s">
        <v>120</v>
      </c>
      <c r="C136" s="26" t="s">
        <v>562</v>
      </c>
      <c r="D136" s="15"/>
      <c r="E136" s="146">
        <f t="shared" ref="E136:J136" si="34">SUM(E126:E135)</f>
        <v>5289142.75</v>
      </c>
      <c r="F136" s="913">
        <f t="shared" si="34"/>
        <v>4048557.16666667</v>
      </c>
      <c r="G136" s="221">
        <f t="shared" si="34"/>
        <v>51467.5291666667</v>
      </c>
      <c r="H136" s="221">
        <f t="shared" si="34"/>
        <v>101213.929166667</v>
      </c>
      <c r="I136" s="221">
        <f t="shared" si="34"/>
        <v>49746.3999999999</v>
      </c>
      <c r="J136" s="221">
        <f t="shared" si="34"/>
        <v>1214567.15</v>
      </c>
    </row>
    <row r="137" customHeight="1" spans="1:10">
      <c r="A137" s="4"/>
      <c r="B137" s="22"/>
      <c r="C137" s="26"/>
      <c r="D137" s="15"/>
      <c r="E137" s="146"/>
      <c r="F137" s="913"/>
      <c r="G137" s="916"/>
      <c r="H137" s="916"/>
      <c r="I137" s="916"/>
      <c r="J137" s="916"/>
    </row>
    <row r="138" customHeight="1" spans="1:10">
      <c r="A138" s="4"/>
      <c r="B138" s="20" t="s">
        <v>300</v>
      </c>
      <c r="C138" s="12"/>
      <c r="D138" s="15"/>
      <c r="E138" s="85"/>
      <c r="F138" s="909"/>
      <c r="G138" s="916"/>
      <c r="H138" s="916"/>
      <c r="I138" s="916"/>
      <c r="J138" s="916"/>
    </row>
    <row r="139" customHeight="1" spans="1:10">
      <c r="A139" s="27">
        <v>1</v>
      </c>
      <c r="B139" s="14" t="s">
        <v>301</v>
      </c>
      <c r="C139" s="4" t="s">
        <v>302</v>
      </c>
      <c r="D139" s="10" t="s">
        <v>508</v>
      </c>
      <c r="E139" s="85">
        <f>'[3]Annual &amp; Monthly'!$H$44</f>
        <v>1352042.66666667</v>
      </c>
      <c r="F139" s="909">
        <v>1025768.33333333</v>
      </c>
      <c r="G139" s="916">
        <v>18254.975</v>
      </c>
      <c r="H139" s="916">
        <f t="shared" ref="H139:H198" si="35">0.025*F139</f>
        <v>25644.2083333333</v>
      </c>
      <c r="I139" s="916">
        <f t="shared" ref="I139:I198" si="36">H139-G139</f>
        <v>7389.23333333325</v>
      </c>
      <c r="J139" s="916">
        <f t="shared" ref="J139:J198" si="37">H139*12</f>
        <v>307730.499999999</v>
      </c>
    </row>
    <row r="140" customHeight="1" spans="1:10">
      <c r="A140" s="27">
        <v>2</v>
      </c>
      <c r="B140" s="14" t="s">
        <v>304</v>
      </c>
      <c r="C140" s="4" t="s">
        <v>305</v>
      </c>
      <c r="D140" s="16" t="s">
        <v>35</v>
      </c>
      <c r="E140" s="85">
        <v>762373.166666667</v>
      </c>
      <c r="F140" s="909">
        <v>554669.5</v>
      </c>
      <c r="G140" s="916">
        <v>10293.3979166667</v>
      </c>
      <c r="H140" s="916">
        <f t="shared" si="35"/>
        <v>13866.7375</v>
      </c>
      <c r="I140" s="916">
        <f t="shared" si="36"/>
        <v>3573.3395833333</v>
      </c>
      <c r="J140" s="916">
        <f t="shared" si="37"/>
        <v>166400.85</v>
      </c>
    </row>
    <row r="141" customHeight="1" spans="1:10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916">
        <v>8380.22708333333</v>
      </c>
      <c r="H141" s="916">
        <f t="shared" si="35"/>
        <v>10824.5270833333</v>
      </c>
      <c r="I141" s="916">
        <f t="shared" si="36"/>
        <v>2444.3</v>
      </c>
      <c r="J141" s="916">
        <f t="shared" si="37"/>
        <v>129894.325</v>
      </c>
    </row>
    <row r="142" customHeight="1" spans="1:10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916">
        <v>8381.22708333333</v>
      </c>
      <c r="H142" s="916">
        <f t="shared" si="35"/>
        <v>10824.5270833333</v>
      </c>
      <c r="I142" s="916">
        <f t="shared" si="36"/>
        <v>2443.3</v>
      </c>
      <c r="J142" s="916">
        <f t="shared" si="37"/>
        <v>129894.325</v>
      </c>
    </row>
    <row r="143" customHeight="1" spans="1:10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916">
        <v>8382.22708333333</v>
      </c>
      <c r="H143" s="916">
        <f t="shared" si="35"/>
        <v>10824.5270833333</v>
      </c>
      <c r="I143" s="916">
        <f t="shared" si="36"/>
        <v>2442.3</v>
      </c>
      <c r="J143" s="916">
        <f t="shared" si="37"/>
        <v>129894.325</v>
      </c>
    </row>
    <row r="144" customHeight="1" spans="1:10">
      <c r="A144" s="27">
        <v>6</v>
      </c>
      <c r="B144" s="11" t="s">
        <v>313</v>
      </c>
      <c r="C144" s="12" t="s">
        <v>230</v>
      </c>
      <c r="D144" s="15" t="s">
        <v>66</v>
      </c>
      <c r="E144" s="85">
        <v>390248.916666667</v>
      </c>
      <c r="F144" s="909">
        <v>311673.25</v>
      </c>
      <c r="G144" s="916">
        <v>0</v>
      </c>
      <c r="H144" s="916">
        <f t="shared" si="35"/>
        <v>7791.83125</v>
      </c>
      <c r="I144" s="916">
        <f t="shared" si="36"/>
        <v>7791.83125</v>
      </c>
      <c r="J144" s="916">
        <f t="shared" si="37"/>
        <v>93501.975</v>
      </c>
    </row>
    <row r="145" customHeight="1" spans="1:10">
      <c r="A145" s="27">
        <v>7</v>
      </c>
      <c r="B145" s="11" t="s">
        <v>314</v>
      </c>
      <c r="C145" s="4" t="s">
        <v>563</v>
      </c>
      <c r="D145" s="15" t="s">
        <v>66</v>
      </c>
      <c r="E145" s="85">
        <v>390248.916666667</v>
      </c>
      <c r="F145" s="909">
        <v>302987.416666667</v>
      </c>
      <c r="G145" s="916">
        <v>0</v>
      </c>
      <c r="H145" s="916">
        <f t="shared" si="35"/>
        <v>7574.68541666667</v>
      </c>
      <c r="I145" s="916">
        <f t="shared" si="36"/>
        <v>7574.68541666667</v>
      </c>
      <c r="J145" s="916">
        <f t="shared" si="37"/>
        <v>90896.2250000001</v>
      </c>
    </row>
    <row r="146" customHeight="1" spans="1:10">
      <c r="A146" s="27">
        <v>8</v>
      </c>
      <c r="B146" s="11" t="s">
        <v>316</v>
      </c>
      <c r="C146" s="12" t="s">
        <v>564</v>
      </c>
      <c r="D146" s="15" t="s">
        <v>170</v>
      </c>
      <c r="E146" s="85">
        <v>390086.5</v>
      </c>
      <c r="F146" s="909">
        <v>302878.666666667</v>
      </c>
      <c r="G146" s="916">
        <v>0</v>
      </c>
      <c r="H146" s="916">
        <f t="shared" si="35"/>
        <v>7571.96666666667</v>
      </c>
      <c r="I146" s="916">
        <f t="shared" si="36"/>
        <v>7571.96666666667</v>
      </c>
      <c r="J146" s="916">
        <f t="shared" si="37"/>
        <v>90863.6000000001</v>
      </c>
    </row>
    <row r="147" customHeight="1" spans="1:10">
      <c r="A147" s="27">
        <v>9</v>
      </c>
      <c r="B147" s="11" t="s">
        <v>318</v>
      </c>
      <c r="C147" s="12" t="s">
        <v>319</v>
      </c>
      <c r="D147" s="15" t="s">
        <v>69</v>
      </c>
      <c r="E147" s="85">
        <v>377895.166666667</v>
      </c>
      <c r="F147" s="909">
        <v>294662.916666667</v>
      </c>
      <c r="G147" s="916">
        <v>4928.93333333333</v>
      </c>
      <c r="H147" s="916">
        <f t="shared" si="35"/>
        <v>7366.57291666668</v>
      </c>
      <c r="I147" s="916">
        <f t="shared" si="36"/>
        <v>2437.63958333335</v>
      </c>
      <c r="J147" s="916">
        <f t="shared" si="37"/>
        <v>88398.8750000001</v>
      </c>
    </row>
    <row r="148" customHeight="1" spans="1:10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09">
        <v>286447.083333333</v>
      </c>
      <c r="G148" s="916">
        <v>0</v>
      </c>
      <c r="H148" s="916">
        <f t="shared" si="35"/>
        <v>7161.17708333333</v>
      </c>
      <c r="I148" s="916">
        <f t="shared" si="36"/>
        <v>7161.17708333333</v>
      </c>
      <c r="J148" s="916">
        <f t="shared" si="37"/>
        <v>85934.1249999999</v>
      </c>
    </row>
    <row r="149" customHeight="1" spans="1:10">
      <c r="A149" s="27">
        <v>11</v>
      </c>
      <c r="B149" s="11" t="s">
        <v>322</v>
      </c>
      <c r="C149" s="4" t="s">
        <v>321</v>
      </c>
      <c r="D149" s="15" t="s">
        <v>504</v>
      </c>
      <c r="E149" s="220">
        <v>353512.5</v>
      </c>
      <c r="F149" s="909">
        <v>278231.25</v>
      </c>
      <c r="G149" s="916">
        <v>0</v>
      </c>
      <c r="H149" s="916">
        <f t="shared" si="35"/>
        <v>6955.78125</v>
      </c>
      <c r="I149" s="916">
        <f t="shared" si="36"/>
        <v>6955.78125</v>
      </c>
      <c r="J149" s="916">
        <f t="shared" si="37"/>
        <v>83469.375</v>
      </c>
    </row>
    <row r="150" customHeight="1" spans="1:10">
      <c r="A150" s="27">
        <v>12</v>
      </c>
      <c r="B150" s="11" t="s">
        <v>323</v>
      </c>
      <c r="C150" s="4" t="s">
        <v>321</v>
      </c>
      <c r="D150" s="15" t="s">
        <v>504</v>
      </c>
      <c r="E150" s="220">
        <v>353512.5</v>
      </c>
      <c r="F150" s="909">
        <v>278231.25</v>
      </c>
      <c r="G150" s="916">
        <v>4928.93333333333</v>
      </c>
      <c r="H150" s="916">
        <f t="shared" si="35"/>
        <v>6955.78125</v>
      </c>
      <c r="I150" s="916">
        <f t="shared" si="36"/>
        <v>2026.84791666667</v>
      </c>
      <c r="J150" s="916">
        <f t="shared" si="37"/>
        <v>83469.375</v>
      </c>
    </row>
    <row r="151" customHeight="1" spans="1:10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09">
        <v>286447.083333333</v>
      </c>
      <c r="G151" s="916">
        <v>0</v>
      </c>
      <c r="H151" s="916">
        <f t="shared" si="35"/>
        <v>7161.17708333333</v>
      </c>
      <c r="I151" s="916">
        <f t="shared" si="36"/>
        <v>7161.17708333333</v>
      </c>
      <c r="J151" s="916">
        <f t="shared" si="37"/>
        <v>85934.1249999999</v>
      </c>
    </row>
    <row r="152" customHeight="1" spans="1:10">
      <c r="A152" s="27">
        <v>14</v>
      </c>
      <c r="B152" s="11" t="s">
        <v>326</v>
      </c>
      <c r="C152" s="12" t="s">
        <v>327</v>
      </c>
      <c r="D152" s="15" t="s">
        <v>77</v>
      </c>
      <c r="E152" s="220">
        <v>308901.5</v>
      </c>
      <c r="F152" s="909">
        <v>246171.166666667</v>
      </c>
      <c r="G152" s="916">
        <v>0</v>
      </c>
      <c r="H152" s="916">
        <f t="shared" si="35"/>
        <v>6154.27916666668</v>
      </c>
      <c r="I152" s="916">
        <f t="shared" si="36"/>
        <v>6154.27916666668</v>
      </c>
      <c r="J152" s="916">
        <f t="shared" si="37"/>
        <v>73851.3500000001</v>
      </c>
    </row>
    <row r="153" customHeight="1" spans="1:10">
      <c r="A153" s="27">
        <v>15</v>
      </c>
      <c r="B153" s="11" t="s">
        <v>328</v>
      </c>
      <c r="C153" s="12" t="s">
        <v>329</v>
      </c>
      <c r="D153" s="10" t="s">
        <v>88</v>
      </c>
      <c r="E153" s="85">
        <v>270481.666666667</v>
      </c>
      <c r="F153" s="909">
        <v>222674.583333333</v>
      </c>
      <c r="G153" s="916">
        <v>0</v>
      </c>
      <c r="H153" s="916">
        <f t="shared" si="35"/>
        <v>5566.86458333332</v>
      </c>
      <c r="I153" s="916">
        <f t="shared" si="36"/>
        <v>5566.86458333332</v>
      </c>
      <c r="J153" s="916">
        <f t="shared" si="37"/>
        <v>66802.3749999999</v>
      </c>
    </row>
    <row r="154" customHeight="1" spans="1:10">
      <c r="A154" s="27">
        <v>16</v>
      </c>
      <c r="B154" s="11" t="s">
        <v>330</v>
      </c>
      <c r="C154" s="12" t="s">
        <v>565</v>
      </c>
      <c r="D154" s="15" t="s">
        <v>151</v>
      </c>
      <c r="E154" s="220">
        <v>316837.416666667</v>
      </c>
      <c r="F154" s="909">
        <v>308901.5</v>
      </c>
      <c r="G154" s="916">
        <v>0</v>
      </c>
      <c r="H154" s="916">
        <f t="shared" si="35"/>
        <v>7722.5375</v>
      </c>
      <c r="I154" s="916">
        <f t="shared" si="36"/>
        <v>7722.5375</v>
      </c>
      <c r="J154" s="916">
        <f t="shared" si="37"/>
        <v>92670.45</v>
      </c>
    </row>
    <row r="155" customHeight="1" spans="1:10">
      <c r="A155" s="27">
        <v>17</v>
      </c>
      <c r="B155" s="11" t="s">
        <v>332</v>
      </c>
      <c r="C155" s="12" t="s">
        <v>566</v>
      </c>
      <c r="D155" s="15" t="s">
        <v>85</v>
      </c>
      <c r="E155" s="220">
        <v>277798</v>
      </c>
      <c r="F155" s="909">
        <v>227615.75</v>
      </c>
      <c r="G155" s="916">
        <v>0</v>
      </c>
      <c r="H155" s="916">
        <f t="shared" si="35"/>
        <v>5690.39375</v>
      </c>
      <c r="I155" s="916">
        <f t="shared" si="36"/>
        <v>5690.39375</v>
      </c>
      <c r="J155" s="916">
        <f t="shared" si="37"/>
        <v>68284.725</v>
      </c>
    </row>
    <row r="156" customHeight="1" spans="1:10">
      <c r="A156" s="27">
        <v>18</v>
      </c>
      <c r="B156" s="11" t="s">
        <v>334</v>
      </c>
      <c r="C156" s="12" t="s">
        <v>567</v>
      </c>
      <c r="D156" s="15" t="s">
        <v>151</v>
      </c>
      <c r="E156" s="220">
        <v>316837.416666667</v>
      </c>
      <c r="F156" s="909">
        <v>308901.5</v>
      </c>
      <c r="G156" s="916">
        <v>4123.42083333333</v>
      </c>
      <c r="H156" s="916">
        <f t="shared" si="35"/>
        <v>7722.5375</v>
      </c>
      <c r="I156" s="916">
        <f t="shared" si="36"/>
        <v>3599.11666666667</v>
      </c>
      <c r="J156" s="916">
        <f t="shared" si="37"/>
        <v>92670.45</v>
      </c>
    </row>
    <row r="157" customHeight="1" spans="1:10">
      <c r="A157" s="27">
        <v>19</v>
      </c>
      <c r="B157" s="11" t="s">
        <v>335</v>
      </c>
      <c r="C157" s="12" t="s">
        <v>568</v>
      </c>
      <c r="D157" s="15" t="s">
        <v>85</v>
      </c>
      <c r="E157" s="220">
        <v>277798</v>
      </c>
      <c r="F157" s="909">
        <v>227615.75</v>
      </c>
      <c r="G157" s="916">
        <v>0</v>
      </c>
      <c r="H157" s="916">
        <f t="shared" si="35"/>
        <v>5690.39375</v>
      </c>
      <c r="I157" s="916">
        <f t="shared" si="36"/>
        <v>5690.39375</v>
      </c>
      <c r="J157" s="916">
        <f t="shared" si="37"/>
        <v>68284.725</v>
      </c>
    </row>
    <row r="158" customHeight="1" spans="1:10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09">
        <v>217733.416666667</v>
      </c>
      <c r="G158" s="916">
        <v>0</v>
      </c>
      <c r="H158" s="916">
        <f t="shared" si="35"/>
        <v>5443.33541666668</v>
      </c>
      <c r="I158" s="916">
        <f t="shared" si="36"/>
        <v>5443.33541666668</v>
      </c>
      <c r="J158" s="916">
        <f t="shared" si="37"/>
        <v>65320.0250000001</v>
      </c>
    </row>
    <row r="159" customHeight="1" spans="1:10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09">
        <v>217733.416666667</v>
      </c>
      <c r="G159" s="916">
        <v>0</v>
      </c>
      <c r="H159" s="916">
        <f t="shared" si="35"/>
        <v>5443.33541666668</v>
      </c>
      <c r="I159" s="916">
        <f t="shared" si="36"/>
        <v>5443.33541666668</v>
      </c>
      <c r="J159" s="916">
        <f t="shared" si="37"/>
        <v>65320.0250000001</v>
      </c>
    </row>
    <row r="160" customHeight="1" spans="1:10">
      <c r="A160" s="27">
        <v>22</v>
      </c>
      <c r="B160" s="18" t="s">
        <v>345</v>
      </c>
      <c r="C160" s="12" t="s">
        <v>346</v>
      </c>
      <c r="D160" s="15" t="s">
        <v>108</v>
      </c>
      <c r="E160" s="85">
        <v>230631.916666667</v>
      </c>
      <c r="F160" s="909">
        <v>196364.416666667</v>
      </c>
      <c r="G160" s="916">
        <v>0</v>
      </c>
      <c r="H160" s="916">
        <f t="shared" si="35"/>
        <v>4909.11041666668</v>
      </c>
      <c r="I160" s="916">
        <f t="shared" si="36"/>
        <v>4909.11041666668</v>
      </c>
      <c r="J160" s="916">
        <f t="shared" si="37"/>
        <v>58909.3250000001</v>
      </c>
    </row>
    <row r="161" customHeight="1" spans="1:10">
      <c r="A161" s="27">
        <v>23</v>
      </c>
      <c r="B161" s="18" t="s">
        <v>347</v>
      </c>
      <c r="C161" s="12" t="s">
        <v>348</v>
      </c>
      <c r="D161" s="15" t="s">
        <v>108</v>
      </c>
      <c r="E161" s="85">
        <v>230631.916666667</v>
      </c>
      <c r="F161" s="909">
        <v>196364.416666667</v>
      </c>
      <c r="G161" s="916">
        <v>0</v>
      </c>
      <c r="H161" s="916">
        <f t="shared" si="35"/>
        <v>4909.11041666668</v>
      </c>
      <c r="I161" s="916">
        <f t="shared" si="36"/>
        <v>4909.11041666668</v>
      </c>
      <c r="J161" s="916">
        <f t="shared" si="37"/>
        <v>58909.3250000001</v>
      </c>
    </row>
    <row r="162" customHeight="1" spans="1:10">
      <c r="A162" s="27">
        <v>24</v>
      </c>
      <c r="B162" s="18" t="s">
        <v>349</v>
      </c>
      <c r="C162" s="12" t="s">
        <v>350</v>
      </c>
      <c r="D162" s="15" t="s">
        <v>108</v>
      </c>
      <c r="E162" s="85">
        <v>230631.916666667</v>
      </c>
      <c r="F162" s="909">
        <v>196364.416666667</v>
      </c>
      <c r="G162" s="916">
        <v>0</v>
      </c>
      <c r="H162" s="916">
        <f t="shared" si="35"/>
        <v>4909.11041666668</v>
      </c>
      <c r="I162" s="916">
        <f t="shared" si="36"/>
        <v>4909.11041666668</v>
      </c>
      <c r="J162" s="916">
        <f t="shared" si="37"/>
        <v>58909.3250000001</v>
      </c>
    </row>
    <row r="163" customHeight="1" spans="1:10">
      <c r="A163" s="27">
        <v>25</v>
      </c>
      <c r="B163" s="18" t="s">
        <v>351</v>
      </c>
      <c r="C163" s="12" t="s">
        <v>569</v>
      </c>
      <c r="D163" s="15" t="s">
        <v>105</v>
      </c>
      <c r="E163" s="85">
        <v>236804.083333333</v>
      </c>
      <c r="F163" s="909">
        <v>200549.416666667</v>
      </c>
      <c r="G163" s="916">
        <v>0</v>
      </c>
      <c r="H163" s="916">
        <f t="shared" si="35"/>
        <v>5013.73541666668</v>
      </c>
      <c r="I163" s="916">
        <f t="shared" si="36"/>
        <v>5013.73541666668</v>
      </c>
      <c r="J163" s="916">
        <f t="shared" si="37"/>
        <v>60164.8250000001</v>
      </c>
    </row>
    <row r="164" customHeight="1" spans="1:10">
      <c r="A164" s="27">
        <v>26</v>
      </c>
      <c r="B164" s="18" t="s">
        <v>352</v>
      </c>
      <c r="C164" s="12" t="s">
        <v>348</v>
      </c>
      <c r="D164" s="15" t="s">
        <v>108</v>
      </c>
      <c r="E164" s="85">
        <v>230631.916666667</v>
      </c>
      <c r="F164" s="909">
        <v>196364.416666667</v>
      </c>
      <c r="G164" s="916">
        <v>0</v>
      </c>
      <c r="H164" s="916">
        <f t="shared" si="35"/>
        <v>4909.11041666668</v>
      </c>
      <c r="I164" s="916">
        <f t="shared" si="36"/>
        <v>4909.11041666668</v>
      </c>
      <c r="J164" s="916">
        <f t="shared" si="37"/>
        <v>58909.3250000001</v>
      </c>
    </row>
    <row r="165" customHeight="1" spans="1:10">
      <c r="A165" s="27">
        <v>27</v>
      </c>
      <c r="B165" s="18" t="s">
        <v>353</v>
      </c>
      <c r="C165" s="12" t="s">
        <v>354</v>
      </c>
      <c r="D165" s="15" t="s">
        <v>111</v>
      </c>
      <c r="E165" s="676">
        <v>224459.75</v>
      </c>
      <c r="F165" s="909">
        <v>192179.416666667</v>
      </c>
      <c r="G165" s="916"/>
      <c r="H165" s="916">
        <f t="shared" si="35"/>
        <v>4804.48541666668</v>
      </c>
      <c r="I165" s="916">
        <f t="shared" si="36"/>
        <v>4804.48541666668</v>
      </c>
      <c r="J165" s="916">
        <f t="shared" si="37"/>
        <v>57653.8250000001</v>
      </c>
    </row>
    <row r="166" customHeight="1" spans="1:10">
      <c r="A166" s="27">
        <v>28</v>
      </c>
      <c r="B166" s="18" t="s">
        <v>355</v>
      </c>
      <c r="C166" s="12" t="s">
        <v>354</v>
      </c>
      <c r="D166" s="15" t="s">
        <v>111</v>
      </c>
      <c r="E166" s="676">
        <v>224459.75</v>
      </c>
      <c r="F166" s="909">
        <v>192179.416666667</v>
      </c>
      <c r="G166" s="916"/>
      <c r="H166" s="916">
        <f t="shared" si="35"/>
        <v>4804.48541666668</v>
      </c>
      <c r="I166" s="916">
        <f t="shared" si="36"/>
        <v>4804.48541666668</v>
      </c>
      <c r="J166" s="916">
        <f t="shared" si="37"/>
        <v>57653.8250000001</v>
      </c>
    </row>
    <row r="167" customHeight="1" spans="1:10">
      <c r="A167" s="27">
        <v>29</v>
      </c>
      <c r="B167" s="11" t="s">
        <v>361</v>
      </c>
      <c r="C167" s="12" t="s">
        <v>362</v>
      </c>
      <c r="D167" s="15" t="s">
        <v>375</v>
      </c>
      <c r="E167" s="226">
        <v>173859.5</v>
      </c>
      <c r="F167" s="921">
        <v>159288.583333333</v>
      </c>
      <c r="G167" s="916">
        <v>2313.575</v>
      </c>
      <c r="H167" s="916">
        <f t="shared" si="35"/>
        <v>3982.21458333333</v>
      </c>
      <c r="I167" s="916">
        <f t="shared" si="36"/>
        <v>1668.63958333333</v>
      </c>
      <c r="J167" s="916">
        <f t="shared" si="37"/>
        <v>47786.5749999999</v>
      </c>
    </row>
    <row r="168" customHeight="1" spans="1:10">
      <c r="A168" s="27">
        <v>30</v>
      </c>
      <c r="B168" s="11" t="s">
        <v>364</v>
      </c>
      <c r="C168" s="12" t="s">
        <v>362</v>
      </c>
      <c r="D168" s="15" t="s">
        <v>375</v>
      </c>
      <c r="E168" s="226">
        <v>173859.5</v>
      </c>
      <c r="F168" s="921">
        <v>159288.583333333</v>
      </c>
      <c r="G168" s="916">
        <v>0</v>
      </c>
      <c r="H168" s="916">
        <f t="shared" si="35"/>
        <v>3982.21458333333</v>
      </c>
      <c r="I168" s="916">
        <f t="shared" si="36"/>
        <v>3982.21458333333</v>
      </c>
      <c r="J168" s="916">
        <f t="shared" si="37"/>
        <v>47786.5749999999</v>
      </c>
    </row>
    <row r="169" customHeight="1" spans="1:10">
      <c r="A169" s="27">
        <v>31</v>
      </c>
      <c r="B169" s="11" t="s">
        <v>570</v>
      </c>
      <c r="C169" s="12" t="s">
        <v>362</v>
      </c>
      <c r="D169" s="15" t="s">
        <v>375</v>
      </c>
      <c r="E169" s="226">
        <v>173859.5</v>
      </c>
      <c r="F169" s="921">
        <v>159288.583333333</v>
      </c>
      <c r="G169" s="916">
        <v>0</v>
      </c>
      <c r="H169" s="916">
        <f t="shared" si="35"/>
        <v>3982.21458333333</v>
      </c>
      <c r="I169" s="916">
        <f t="shared" si="36"/>
        <v>3982.21458333333</v>
      </c>
      <c r="J169" s="916">
        <f t="shared" si="37"/>
        <v>47786.5749999999</v>
      </c>
    </row>
    <row r="170" customHeight="1" spans="1:10">
      <c r="A170" s="27">
        <v>32</v>
      </c>
      <c r="B170" s="11" t="s">
        <v>365</v>
      </c>
      <c r="C170" s="12" t="s">
        <v>362</v>
      </c>
      <c r="D170" s="15" t="s">
        <v>375</v>
      </c>
      <c r="E170" s="226">
        <v>173859.5</v>
      </c>
      <c r="F170" s="921">
        <v>159288.583333333</v>
      </c>
      <c r="G170" s="916">
        <v>2313.575</v>
      </c>
      <c r="H170" s="916">
        <f t="shared" si="35"/>
        <v>3982.21458333333</v>
      </c>
      <c r="I170" s="916">
        <f t="shared" si="36"/>
        <v>1668.63958333333</v>
      </c>
      <c r="J170" s="916">
        <f t="shared" si="37"/>
        <v>47786.5749999999</v>
      </c>
    </row>
    <row r="171" customHeight="1" spans="1:10">
      <c r="A171" s="27">
        <v>33</v>
      </c>
      <c r="B171" s="11" t="s">
        <v>366</v>
      </c>
      <c r="C171" s="12" t="s">
        <v>362</v>
      </c>
      <c r="D171" s="15" t="s">
        <v>375</v>
      </c>
      <c r="E171" s="226">
        <v>173859.5</v>
      </c>
      <c r="F171" s="921">
        <v>159288.583333333</v>
      </c>
      <c r="G171" s="916"/>
      <c r="H171" s="916">
        <f t="shared" si="35"/>
        <v>3982.21458333333</v>
      </c>
      <c r="I171" s="916">
        <f t="shared" si="36"/>
        <v>3982.21458333333</v>
      </c>
      <c r="J171" s="916">
        <f t="shared" si="37"/>
        <v>47786.5749999999</v>
      </c>
    </row>
    <row r="172" customHeight="1" spans="1:10">
      <c r="A172" s="27">
        <v>34</v>
      </c>
      <c r="B172" s="11" t="s">
        <v>367</v>
      </c>
      <c r="C172" s="12" t="s">
        <v>362</v>
      </c>
      <c r="D172" s="15" t="s">
        <v>388</v>
      </c>
      <c r="E172" s="226">
        <v>168598.166666667</v>
      </c>
      <c r="F172" s="921">
        <v>155678.666666667</v>
      </c>
      <c r="G172" s="916"/>
      <c r="H172" s="916">
        <f t="shared" si="35"/>
        <v>3891.96666666668</v>
      </c>
      <c r="I172" s="916">
        <f t="shared" si="36"/>
        <v>3891.96666666668</v>
      </c>
      <c r="J172" s="916">
        <f t="shared" si="37"/>
        <v>46703.6000000001</v>
      </c>
    </row>
    <row r="173" customHeight="1" spans="1:10">
      <c r="A173" s="27">
        <v>35</v>
      </c>
      <c r="B173" s="11" t="s">
        <v>369</v>
      </c>
      <c r="C173" s="12" t="s">
        <v>362</v>
      </c>
      <c r="D173" s="15" t="s">
        <v>388</v>
      </c>
      <c r="E173" s="226">
        <v>168598.166666667</v>
      </c>
      <c r="F173" s="921">
        <v>155678.666666667</v>
      </c>
      <c r="G173" s="916"/>
      <c r="H173" s="916">
        <f t="shared" si="35"/>
        <v>3891.96666666668</v>
      </c>
      <c r="I173" s="916">
        <f t="shared" si="36"/>
        <v>3891.96666666668</v>
      </c>
      <c r="J173" s="916">
        <f t="shared" si="37"/>
        <v>46703.6000000001</v>
      </c>
    </row>
    <row r="174" customHeight="1" spans="1:10">
      <c r="A174" s="27">
        <v>36</v>
      </c>
      <c r="B174" s="14" t="s">
        <v>370</v>
      </c>
      <c r="C174" s="12" t="s">
        <v>362</v>
      </c>
      <c r="D174" s="15" t="s">
        <v>388</v>
      </c>
      <c r="E174" s="226">
        <v>168598.166666667</v>
      </c>
      <c r="F174" s="921">
        <v>155678.666666667</v>
      </c>
      <c r="G174" s="916"/>
      <c r="H174" s="916">
        <f t="shared" si="35"/>
        <v>3891.96666666668</v>
      </c>
      <c r="I174" s="916">
        <f t="shared" si="36"/>
        <v>3891.96666666668</v>
      </c>
      <c r="J174" s="916">
        <f t="shared" si="37"/>
        <v>46703.6000000001</v>
      </c>
    </row>
    <row r="175" customHeight="1" spans="1:10">
      <c r="A175" s="27">
        <v>37</v>
      </c>
      <c r="B175" s="11" t="s">
        <v>371</v>
      </c>
      <c r="C175" s="12" t="s">
        <v>362</v>
      </c>
      <c r="D175" s="15" t="s">
        <v>388</v>
      </c>
      <c r="E175" s="226">
        <v>168598.166666667</v>
      </c>
      <c r="F175" s="921">
        <v>155678.666666667</v>
      </c>
      <c r="G175" s="916"/>
      <c r="H175" s="916">
        <f t="shared" si="35"/>
        <v>3891.96666666668</v>
      </c>
      <c r="I175" s="916">
        <f t="shared" si="36"/>
        <v>3891.96666666668</v>
      </c>
      <c r="J175" s="916">
        <f t="shared" si="37"/>
        <v>46703.6000000001</v>
      </c>
    </row>
    <row r="176" customHeight="1" spans="1:10">
      <c r="A176" s="27">
        <v>38</v>
      </c>
      <c r="B176" s="18" t="s">
        <v>372</v>
      </c>
      <c r="C176" s="12" t="s">
        <v>362</v>
      </c>
      <c r="D176" s="15" t="s">
        <v>388</v>
      </c>
      <c r="E176" s="226">
        <v>168598.166666667</v>
      </c>
      <c r="F176" s="921">
        <v>155678.666666667</v>
      </c>
      <c r="G176" s="916"/>
      <c r="H176" s="916">
        <f t="shared" si="35"/>
        <v>3891.96666666668</v>
      </c>
      <c r="I176" s="916">
        <f t="shared" si="36"/>
        <v>3891.96666666668</v>
      </c>
      <c r="J176" s="916">
        <f t="shared" si="37"/>
        <v>46703.6000000001</v>
      </c>
    </row>
    <row r="177" customHeight="1" spans="1:10">
      <c r="A177" s="27">
        <v>39</v>
      </c>
      <c r="B177" s="18" t="s">
        <v>359</v>
      </c>
      <c r="C177" s="12" t="s">
        <v>362</v>
      </c>
      <c r="D177" s="15" t="s">
        <v>388</v>
      </c>
      <c r="E177" s="226">
        <v>168598.166666667</v>
      </c>
      <c r="F177" s="921">
        <v>155678.666666667</v>
      </c>
      <c r="G177" s="916"/>
      <c r="H177" s="916">
        <f t="shared" si="35"/>
        <v>3891.96666666668</v>
      </c>
      <c r="I177" s="916">
        <f t="shared" si="36"/>
        <v>3891.96666666668</v>
      </c>
      <c r="J177" s="916">
        <f t="shared" si="37"/>
        <v>46703.6000000001</v>
      </c>
    </row>
    <row r="178" customHeight="1" spans="1:10">
      <c r="A178" s="27">
        <v>40</v>
      </c>
      <c r="B178" s="11" t="s">
        <v>373</v>
      </c>
      <c r="C178" s="12" t="s">
        <v>374</v>
      </c>
      <c r="D178" s="15" t="s">
        <v>510</v>
      </c>
      <c r="E178" s="85">
        <v>158075.5</v>
      </c>
      <c r="F178" s="921">
        <v>148459</v>
      </c>
      <c r="G178" s="916"/>
      <c r="H178" s="916">
        <f t="shared" si="35"/>
        <v>3711.475</v>
      </c>
      <c r="I178" s="916">
        <f t="shared" si="36"/>
        <v>3711.475</v>
      </c>
      <c r="J178" s="916">
        <f t="shared" si="37"/>
        <v>44537.7</v>
      </c>
    </row>
    <row r="179" customHeight="1" spans="1:10">
      <c r="A179" s="27">
        <v>41</v>
      </c>
      <c r="B179" s="11" t="s">
        <v>376</v>
      </c>
      <c r="C179" s="12" t="s">
        <v>374</v>
      </c>
      <c r="D179" s="15" t="s">
        <v>510</v>
      </c>
      <c r="E179" s="85">
        <v>158075.5</v>
      </c>
      <c r="F179" s="921">
        <v>148459</v>
      </c>
      <c r="G179" s="916"/>
      <c r="H179" s="916">
        <f t="shared" si="35"/>
        <v>3711.475</v>
      </c>
      <c r="I179" s="916">
        <f t="shared" si="36"/>
        <v>3711.475</v>
      </c>
      <c r="J179" s="916">
        <f t="shared" si="37"/>
        <v>44537.7</v>
      </c>
    </row>
    <row r="180" customHeight="1" spans="1:10">
      <c r="A180" s="27">
        <v>42</v>
      </c>
      <c r="B180" s="18" t="s">
        <v>377</v>
      </c>
      <c r="C180" s="12" t="s">
        <v>374</v>
      </c>
      <c r="D180" s="15" t="s">
        <v>381</v>
      </c>
      <c r="E180" s="85">
        <v>163336.833333333</v>
      </c>
      <c r="F180" s="921">
        <v>152068.833333333</v>
      </c>
      <c r="G180" s="916"/>
      <c r="H180" s="916">
        <f t="shared" si="35"/>
        <v>3801.72083333333</v>
      </c>
      <c r="I180" s="916">
        <f t="shared" si="36"/>
        <v>3801.72083333333</v>
      </c>
      <c r="J180" s="916">
        <f t="shared" si="37"/>
        <v>45620.6499999999</v>
      </c>
    </row>
    <row r="181" customHeight="1" spans="1:10">
      <c r="A181" s="27">
        <v>43</v>
      </c>
      <c r="B181" s="11" t="s">
        <v>379</v>
      </c>
      <c r="C181" s="12" t="s">
        <v>393</v>
      </c>
      <c r="D181" s="15" t="s">
        <v>511</v>
      </c>
      <c r="E181" s="85">
        <v>152814.166666667</v>
      </c>
      <c r="F181" s="921">
        <v>144849.083333333</v>
      </c>
      <c r="G181" s="916"/>
      <c r="H181" s="916">
        <f t="shared" si="35"/>
        <v>3621.22708333333</v>
      </c>
      <c r="I181" s="916">
        <f t="shared" si="36"/>
        <v>3621.22708333333</v>
      </c>
      <c r="J181" s="916">
        <f t="shared" si="37"/>
        <v>43454.7249999999</v>
      </c>
    </row>
    <row r="182" customHeight="1" spans="1:10">
      <c r="A182" s="27">
        <v>44</v>
      </c>
      <c r="B182" s="11" t="s">
        <v>382</v>
      </c>
      <c r="C182" s="12" t="s">
        <v>390</v>
      </c>
      <c r="D182" s="15" t="s">
        <v>571</v>
      </c>
      <c r="E182" s="85">
        <v>94145.75</v>
      </c>
      <c r="F182" s="921">
        <v>101053.25</v>
      </c>
      <c r="G182" s="916"/>
      <c r="H182" s="916">
        <f t="shared" si="35"/>
        <v>2526.33125</v>
      </c>
      <c r="I182" s="916">
        <f t="shared" si="36"/>
        <v>2526.33125</v>
      </c>
      <c r="J182" s="916">
        <f t="shared" si="37"/>
        <v>30315.975</v>
      </c>
    </row>
    <row r="183" customHeight="1" spans="1:10">
      <c r="A183" s="27">
        <v>45</v>
      </c>
      <c r="B183" s="11" t="s">
        <v>383</v>
      </c>
      <c r="C183" s="12" t="s">
        <v>390</v>
      </c>
      <c r="D183" s="15" t="s">
        <v>571</v>
      </c>
      <c r="E183" s="85">
        <v>94145.75</v>
      </c>
      <c r="F183" s="921">
        <v>101053.25</v>
      </c>
      <c r="G183" s="916"/>
      <c r="H183" s="916">
        <f t="shared" si="35"/>
        <v>2526.33125</v>
      </c>
      <c r="I183" s="916">
        <f t="shared" si="36"/>
        <v>2526.33125</v>
      </c>
      <c r="J183" s="916">
        <f t="shared" si="37"/>
        <v>30315.975</v>
      </c>
    </row>
    <row r="184" customHeight="1" spans="1:10">
      <c r="A184" s="27">
        <v>46</v>
      </c>
      <c r="B184" s="11" t="s">
        <v>384</v>
      </c>
      <c r="C184" s="12" t="s">
        <v>390</v>
      </c>
      <c r="D184" s="15" t="s">
        <v>571</v>
      </c>
      <c r="E184" s="85">
        <v>94145.75</v>
      </c>
      <c r="F184" s="921">
        <v>101053.25</v>
      </c>
      <c r="G184" s="916"/>
      <c r="H184" s="916">
        <f t="shared" si="35"/>
        <v>2526.33125</v>
      </c>
      <c r="I184" s="916">
        <f t="shared" si="36"/>
        <v>2526.33125</v>
      </c>
      <c r="J184" s="916">
        <f t="shared" si="37"/>
        <v>30315.975</v>
      </c>
    </row>
    <row r="185" customHeight="1" spans="1:10">
      <c r="A185" s="27">
        <v>47</v>
      </c>
      <c r="B185" s="11" t="s">
        <v>385</v>
      </c>
      <c r="C185" s="12" t="s">
        <v>390</v>
      </c>
      <c r="D185" s="15" t="s">
        <v>571</v>
      </c>
      <c r="E185" s="85">
        <v>94145.75</v>
      </c>
      <c r="F185" s="921">
        <v>101053.25</v>
      </c>
      <c r="G185" s="916"/>
      <c r="H185" s="916">
        <f t="shared" si="35"/>
        <v>2526.33125</v>
      </c>
      <c r="I185" s="916">
        <f t="shared" si="36"/>
        <v>2526.33125</v>
      </c>
      <c r="J185" s="916">
        <f t="shared" si="37"/>
        <v>30315.975</v>
      </c>
    </row>
    <row r="186" customHeight="1" spans="1:10">
      <c r="A186" s="27">
        <v>48</v>
      </c>
      <c r="B186" s="11" t="s">
        <v>386</v>
      </c>
      <c r="C186" s="12" t="s">
        <v>390</v>
      </c>
      <c r="D186" s="15" t="s">
        <v>571</v>
      </c>
      <c r="E186" s="85">
        <v>94145.75</v>
      </c>
      <c r="F186" s="921">
        <v>101053.25</v>
      </c>
      <c r="G186" s="916"/>
      <c r="H186" s="916">
        <f t="shared" si="35"/>
        <v>2526.33125</v>
      </c>
      <c r="I186" s="916">
        <f t="shared" si="36"/>
        <v>2526.33125</v>
      </c>
      <c r="J186" s="916">
        <f t="shared" si="37"/>
        <v>30315.975</v>
      </c>
    </row>
    <row r="187" customHeight="1" spans="1:10">
      <c r="A187" s="27">
        <v>49</v>
      </c>
      <c r="B187" s="18" t="s">
        <v>387</v>
      </c>
      <c r="C187" s="12" t="s">
        <v>390</v>
      </c>
      <c r="D187" s="15" t="s">
        <v>571</v>
      </c>
      <c r="E187" s="85">
        <v>94145.75</v>
      </c>
      <c r="F187" s="921">
        <v>101053.25</v>
      </c>
      <c r="G187" s="916"/>
      <c r="H187" s="916">
        <f t="shared" si="35"/>
        <v>2526.33125</v>
      </c>
      <c r="I187" s="916">
        <f t="shared" si="36"/>
        <v>2526.33125</v>
      </c>
      <c r="J187" s="916">
        <f t="shared" si="37"/>
        <v>30315.975</v>
      </c>
    </row>
    <row r="188" customHeight="1" spans="1:10">
      <c r="A188" s="27">
        <v>50</v>
      </c>
      <c r="B188" s="18" t="s">
        <v>389</v>
      </c>
      <c r="C188" s="12" t="s">
        <v>390</v>
      </c>
      <c r="D188" s="15" t="s">
        <v>571</v>
      </c>
      <c r="E188" s="85">
        <v>94145.75</v>
      </c>
      <c r="F188" s="921">
        <v>101053.25</v>
      </c>
      <c r="G188" s="916"/>
      <c r="H188" s="916">
        <f t="shared" si="35"/>
        <v>2526.33125</v>
      </c>
      <c r="I188" s="916">
        <f t="shared" si="36"/>
        <v>2526.33125</v>
      </c>
      <c r="J188" s="916">
        <f t="shared" si="37"/>
        <v>30315.975</v>
      </c>
    </row>
    <row r="189" customHeight="1" spans="1:10">
      <c r="A189" s="27">
        <v>51</v>
      </c>
      <c r="B189" s="11" t="s">
        <v>572</v>
      </c>
      <c r="C189" s="12" t="s">
        <v>393</v>
      </c>
      <c r="D189" s="15" t="s">
        <v>571</v>
      </c>
      <c r="E189" s="85">
        <v>94145.75</v>
      </c>
      <c r="F189" s="921">
        <v>101053.25</v>
      </c>
      <c r="G189" s="916"/>
      <c r="H189" s="916">
        <f t="shared" si="35"/>
        <v>2526.33125</v>
      </c>
      <c r="I189" s="916">
        <f t="shared" si="36"/>
        <v>2526.33125</v>
      </c>
      <c r="J189" s="916">
        <f t="shared" si="37"/>
        <v>30315.975</v>
      </c>
    </row>
    <row r="190" customHeight="1" spans="1:10">
      <c r="A190" s="27">
        <v>52</v>
      </c>
      <c r="B190" s="11" t="s">
        <v>392</v>
      </c>
      <c r="C190" s="12" t="s">
        <v>393</v>
      </c>
      <c r="D190" s="15" t="s">
        <v>571</v>
      </c>
      <c r="E190" s="85">
        <v>94145.75</v>
      </c>
      <c r="F190" s="921">
        <v>101053.25</v>
      </c>
      <c r="G190" s="916"/>
      <c r="H190" s="916">
        <f t="shared" si="35"/>
        <v>2526.33125</v>
      </c>
      <c r="I190" s="916">
        <f t="shared" si="36"/>
        <v>2526.33125</v>
      </c>
      <c r="J190" s="916">
        <f t="shared" si="37"/>
        <v>30315.975</v>
      </c>
    </row>
    <row r="191" customHeight="1" spans="1:10">
      <c r="A191" s="27">
        <v>53</v>
      </c>
      <c r="B191" s="18" t="s">
        <v>360</v>
      </c>
      <c r="C191" s="12" t="s">
        <v>395</v>
      </c>
      <c r="D191" s="15" t="s">
        <v>573</v>
      </c>
      <c r="E191" s="85">
        <v>91598</v>
      </c>
      <c r="F191" s="921">
        <v>99486.9166666667</v>
      </c>
      <c r="G191" s="916"/>
      <c r="H191" s="916">
        <f t="shared" si="35"/>
        <v>2487.17291666667</v>
      </c>
      <c r="I191" s="916">
        <f t="shared" si="36"/>
        <v>2487.17291666667</v>
      </c>
      <c r="J191" s="916">
        <f t="shared" si="37"/>
        <v>29846.075</v>
      </c>
    </row>
    <row r="192" customHeight="1" spans="1:10">
      <c r="A192" s="27">
        <v>54</v>
      </c>
      <c r="B192" s="18" t="s">
        <v>394</v>
      </c>
      <c r="C192" s="12" t="s">
        <v>395</v>
      </c>
      <c r="D192" s="15" t="s">
        <v>398</v>
      </c>
      <c r="E192" s="85">
        <v>86502.5</v>
      </c>
      <c r="F192" s="921">
        <v>96354.25</v>
      </c>
      <c r="G192" s="916"/>
      <c r="H192" s="916">
        <f t="shared" si="35"/>
        <v>2408.85625</v>
      </c>
      <c r="I192" s="916">
        <f t="shared" si="36"/>
        <v>2408.85625</v>
      </c>
      <c r="J192" s="916">
        <f t="shared" si="37"/>
        <v>28906.275</v>
      </c>
    </row>
    <row r="193" customHeight="1" spans="1:10">
      <c r="A193" s="27">
        <v>55</v>
      </c>
      <c r="B193" s="18" t="s">
        <v>397</v>
      </c>
      <c r="C193" s="12" t="s">
        <v>395</v>
      </c>
      <c r="D193" s="15" t="s">
        <v>400</v>
      </c>
      <c r="E193" s="85">
        <v>83933</v>
      </c>
      <c r="F193" s="921">
        <v>94788.1666666667</v>
      </c>
      <c r="G193" s="916"/>
      <c r="H193" s="916">
        <f t="shared" si="35"/>
        <v>2369.70416666667</v>
      </c>
      <c r="I193" s="916">
        <f t="shared" si="36"/>
        <v>2369.70416666667</v>
      </c>
      <c r="J193" s="916">
        <f t="shared" si="37"/>
        <v>28436.45</v>
      </c>
    </row>
    <row r="194" customHeight="1" spans="1:10">
      <c r="A194" s="27">
        <v>56</v>
      </c>
      <c r="B194" s="18" t="s">
        <v>401</v>
      </c>
      <c r="C194" s="12" t="s">
        <v>402</v>
      </c>
      <c r="D194" s="15" t="s">
        <v>513</v>
      </c>
      <c r="E194" s="85">
        <v>78733.8333333333</v>
      </c>
      <c r="F194" s="909">
        <v>91578.25</v>
      </c>
      <c r="G194" s="916"/>
      <c r="H194" s="916">
        <f t="shared" si="35"/>
        <v>2289.45625</v>
      </c>
      <c r="I194" s="916">
        <f t="shared" si="36"/>
        <v>2289.45625</v>
      </c>
      <c r="J194" s="916">
        <f t="shared" si="37"/>
        <v>27473.475</v>
      </c>
    </row>
    <row r="195" customHeight="1" spans="1:10">
      <c r="A195" s="27">
        <v>57</v>
      </c>
      <c r="B195" s="18" t="s">
        <v>404</v>
      </c>
      <c r="C195" s="12" t="s">
        <v>402</v>
      </c>
      <c r="D195" s="15" t="s">
        <v>513</v>
      </c>
      <c r="E195" s="85">
        <v>78733.8333333333</v>
      </c>
      <c r="F195" s="909">
        <v>91578.25</v>
      </c>
      <c r="G195" s="916"/>
      <c r="H195" s="916">
        <f t="shared" si="35"/>
        <v>2289.45625</v>
      </c>
      <c r="I195" s="916">
        <f t="shared" si="36"/>
        <v>2289.45625</v>
      </c>
      <c r="J195" s="916">
        <f t="shared" si="37"/>
        <v>27473.475</v>
      </c>
    </row>
    <row r="196" customHeight="1" spans="1:10">
      <c r="A196" s="27">
        <v>58</v>
      </c>
      <c r="B196" s="18" t="s">
        <v>405</v>
      </c>
      <c r="C196" s="12" t="s">
        <v>402</v>
      </c>
      <c r="D196" s="15" t="s">
        <v>513</v>
      </c>
      <c r="E196" s="85">
        <v>78733.8333333333</v>
      </c>
      <c r="F196" s="909">
        <v>91578.25</v>
      </c>
      <c r="G196" s="916"/>
      <c r="H196" s="916">
        <f t="shared" si="35"/>
        <v>2289.45625</v>
      </c>
      <c r="I196" s="916">
        <f t="shared" si="36"/>
        <v>2289.45625</v>
      </c>
      <c r="J196" s="916">
        <f t="shared" si="37"/>
        <v>27473.475</v>
      </c>
    </row>
    <row r="197" customHeight="1" spans="1:10">
      <c r="A197" s="27">
        <v>59</v>
      </c>
      <c r="B197" s="18" t="s">
        <v>406</v>
      </c>
      <c r="C197" s="12" t="s">
        <v>407</v>
      </c>
      <c r="D197" s="15" t="s">
        <v>396</v>
      </c>
      <c r="E197" s="85">
        <v>89050.25</v>
      </c>
      <c r="F197" s="909">
        <v>97920.6666666667</v>
      </c>
      <c r="G197" s="916"/>
      <c r="H197" s="916">
        <f t="shared" si="35"/>
        <v>2448.01666666667</v>
      </c>
      <c r="I197" s="916">
        <f t="shared" si="36"/>
        <v>2448.01666666667</v>
      </c>
      <c r="J197" s="916">
        <f t="shared" si="37"/>
        <v>29376.2</v>
      </c>
    </row>
    <row r="198" customHeight="1" spans="1:10">
      <c r="A198" s="27">
        <v>60</v>
      </c>
      <c r="B198" s="18" t="s">
        <v>409</v>
      </c>
      <c r="C198" s="12" t="s">
        <v>407</v>
      </c>
      <c r="D198" s="15" t="s">
        <v>396</v>
      </c>
      <c r="E198" s="85">
        <v>89050.25</v>
      </c>
      <c r="F198" s="909">
        <v>97920.6666666667</v>
      </c>
      <c r="G198" s="916"/>
      <c r="H198" s="916">
        <f t="shared" si="35"/>
        <v>2448.01666666667</v>
      </c>
      <c r="I198" s="916">
        <f t="shared" si="36"/>
        <v>2448.01666666667</v>
      </c>
      <c r="J198" s="916">
        <f t="shared" si="37"/>
        <v>29376.2</v>
      </c>
    </row>
    <row r="199" ht="30.75" customHeight="1" spans="1:10">
      <c r="A199" s="27"/>
      <c r="B199" s="8" t="s">
        <v>120</v>
      </c>
      <c r="C199" s="28" t="s">
        <v>574</v>
      </c>
      <c r="D199" s="29"/>
      <c r="E199" s="93">
        <f t="shared" ref="E199:J199" si="38">SUM(E139:E198)</f>
        <v>14787756.9166667</v>
      </c>
      <c r="F199" s="912">
        <f t="shared" si="38"/>
        <v>12563688.5</v>
      </c>
      <c r="G199" s="93">
        <f t="shared" si="38"/>
        <v>72300.4916666667</v>
      </c>
      <c r="H199" s="93">
        <f t="shared" si="38"/>
        <v>314092.2125</v>
      </c>
      <c r="I199" s="93">
        <f t="shared" si="38"/>
        <v>241791.720833333</v>
      </c>
      <c r="J199" s="93">
        <f t="shared" si="38"/>
        <v>3769106.55</v>
      </c>
    </row>
    <row r="200" ht="30" customHeight="1" spans="1:10">
      <c r="A200" s="4"/>
      <c r="B200" s="30" t="s">
        <v>575</v>
      </c>
      <c r="C200" s="31">
        <f>C39+C46+C57+C62+C72+C81+C94+C102+C112+C123+C136+C199</f>
        <v>153</v>
      </c>
      <c r="D200" s="32"/>
      <c r="E200" s="227">
        <f t="shared" ref="E200:J200" si="39">E199+E136+E123+E118+E112+E102+E94+E81+E72+E62+E57+E46+E39</f>
        <v>62694852.3336667</v>
      </c>
      <c r="F200" s="923">
        <f t="shared" si="39"/>
        <v>49444664.75</v>
      </c>
      <c r="G200" s="227">
        <f t="shared" si="39"/>
        <v>267480.25625</v>
      </c>
      <c r="H200" s="227">
        <f t="shared" si="39"/>
        <v>1181213.71666667</v>
      </c>
      <c r="I200" s="924">
        <f t="shared" si="39"/>
        <v>913733.460416666</v>
      </c>
      <c r="J200" s="227">
        <f t="shared" si="39"/>
        <v>9377520.05</v>
      </c>
    </row>
    <row r="201" s="1" customFormat="1" ht="35.25" customHeight="1" spans="1:7">
      <c r="A201" s="4"/>
      <c r="B201" s="30" t="s">
        <v>576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577</v>
      </c>
      <c r="C202" s="31">
        <f>SUM(C200:C201)</f>
        <v>175</v>
      </c>
      <c r="D202" s="32"/>
      <c r="E202" s="227">
        <f t="shared" ref="E202:J202" si="40">E200+E201</f>
        <v>69258581.5836667</v>
      </c>
      <c r="F202" s="227">
        <f t="shared" si="40"/>
        <v>54790759.5833333</v>
      </c>
      <c r="G202" s="227">
        <f t="shared" si="40"/>
        <v>267480.25625</v>
      </c>
      <c r="H202" s="227">
        <f t="shared" si="40"/>
        <v>1181213.71666667</v>
      </c>
      <c r="I202" s="227">
        <f t="shared" si="40"/>
        <v>913733.460416666</v>
      </c>
      <c r="J202" s="227">
        <f t="shared" si="40"/>
        <v>9377520.05</v>
      </c>
    </row>
    <row r="203" customHeight="1" spans="6:10">
      <c r="F203" s="1"/>
      <c r="G203" s="13"/>
      <c r="H203" s="13"/>
      <c r="I203" s="13"/>
      <c r="J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I4" workbookViewId="0">
      <selection activeCell="P6" sqref="P6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928" t="s">
        <v>616</v>
      </c>
      <c r="AA4" s="463" t="s">
        <v>483</v>
      </c>
      <c r="AB4" s="477" t="s">
        <v>617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>IF(O6&lt;300000,0.07*O6,21000)</f>
        <v>21000</v>
      </c>
      <c r="Q6" s="467">
        <f t="shared" ref="Q6:Q36" si="6">IF((O6-300000)&lt;0,0,IF((O6-300000)&lt;300000,0.11*(O6-300000),33000))</f>
        <v>33000</v>
      </c>
      <c r="R6" s="467">
        <f t="shared" ref="R6:R36" si="7">IF((O6-600000)&lt;0,0,IF((O6-600000)&lt;500000,0.15*(O6-600000),75000))</f>
        <v>75000</v>
      </c>
      <c r="S6" s="467">
        <f t="shared" ref="S6:S36" si="8">IF((O6-1100000)&lt;0,0,IF((O6-1100000)&lt;500000,0.19*(O6-1100000),95000))</f>
        <v>95000</v>
      </c>
      <c r="T6" s="467">
        <f t="shared" ref="T6:T36" si="9">IF((O6-1600000)&lt;0,0,IF((O6-1600000)&lt;1600000,0.21*(O6-1600000),336000))</f>
        <v>336000</v>
      </c>
      <c r="U6" s="467">
        <f t="shared" ref="U6:U34" si="10">24%*(O6-3200000)</f>
        <v>4359641.27999999</v>
      </c>
      <c r="V6" s="467">
        <f t="shared" ref="V6:V36" si="11">P6+Q6+R6+S6+T6+U6</f>
        <v>4919641.27999999</v>
      </c>
      <c r="W6" s="474">
        <v>12</v>
      </c>
      <c r="X6" s="467">
        <f t="shared" ref="X6:X36" si="12">V6/W6</f>
        <v>409970.106666666</v>
      </c>
      <c r="Y6" s="467"/>
      <c r="Z6" s="929">
        <f t="shared" ref="Z6:Z36" si="13">X6</f>
        <v>409970.106666666</v>
      </c>
      <c r="AA6" s="806">
        <v>350184.010730667</v>
      </c>
      <c r="AB6" s="806">
        <f t="shared" ref="AB6:AB36" si="14">Z6-AA6</f>
        <v>59786.0959359988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ref="P6:P36" si="15">IF(O7&lt;300000,0.07*O7,21000)</f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1540720.61184</v>
      </c>
      <c r="V7" s="467">
        <f t="shared" si="11"/>
        <v>2100720.61184</v>
      </c>
      <c r="W7" s="474">
        <v>12</v>
      </c>
      <c r="X7" s="467">
        <f t="shared" si="12"/>
        <v>175060.050986667</v>
      </c>
      <c r="Y7" s="467"/>
      <c r="Z7" s="929">
        <f t="shared" si="13"/>
        <v>175060.050986667</v>
      </c>
      <c r="AA7" s="806">
        <v>149812.262826667</v>
      </c>
      <c r="AB7" s="806">
        <f t="shared" si="14"/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1463969.8983871</v>
      </c>
      <c r="D8" s="466">
        <v>12</v>
      </c>
      <c r="E8" s="467">
        <f t="shared" si="0"/>
        <v>17567638.7806452</v>
      </c>
      <c r="F8" s="467"/>
      <c r="G8" s="467">
        <v>0</v>
      </c>
      <c r="H8" s="467"/>
      <c r="I8" s="467">
        <f t="shared" si="1"/>
        <v>17567638.7806452</v>
      </c>
      <c r="J8" s="467">
        <v>200000</v>
      </c>
      <c r="K8" s="467">
        <v>0.2</v>
      </c>
      <c r="L8" s="467">
        <f t="shared" si="2"/>
        <v>3513527.75612904</v>
      </c>
      <c r="M8" s="467">
        <f t="shared" si="3"/>
        <v>3713527.75612904</v>
      </c>
      <c r="N8" s="467">
        <f t="shared" si="4"/>
        <v>3713527.75612904</v>
      </c>
      <c r="O8" s="467">
        <f t="shared" si="5"/>
        <v>13854111.0245162</v>
      </c>
      <c r="P8" s="467">
        <f t="shared" si="1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2556986.64588388</v>
      </c>
      <c r="V8" s="467">
        <f t="shared" si="11"/>
        <v>3116986.64588388</v>
      </c>
      <c r="W8" s="474">
        <v>12</v>
      </c>
      <c r="X8" s="467">
        <f t="shared" si="12"/>
        <v>259748.88715699</v>
      </c>
      <c r="Y8" s="467"/>
      <c r="Z8" s="929">
        <f t="shared" si="13"/>
        <v>259748.88715699</v>
      </c>
      <c r="AA8" s="806">
        <v>199922.314666667</v>
      </c>
      <c r="AB8" s="806">
        <f t="shared" si="14"/>
        <v>59826.572490323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1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1485731.64864</v>
      </c>
      <c r="V9" s="467">
        <f t="shared" si="11"/>
        <v>2045731.64864</v>
      </c>
      <c r="W9" s="474">
        <v>12</v>
      </c>
      <c r="X9" s="467">
        <f t="shared" si="12"/>
        <v>170477.637386667</v>
      </c>
      <c r="Y9" s="467"/>
      <c r="Z9" s="929">
        <f t="shared" si="13"/>
        <v>170477.637386667</v>
      </c>
      <c r="AA9" s="806">
        <v>147687.527610667</v>
      </c>
      <c r="AB9" s="806">
        <f t="shared" si="14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1019008.91666667</v>
      </c>
      <c r="D10" s="466">
        <v>12</v>
      </c>
      <c r="E10" s="467">
        <f t="shared" si="0"/>
        <v>12228107</v>
      </c>
      <c r="F10" s="467">
        <v>157015.95</v>
      </c>
      <c r="G10" s="467">
        <v>818602.64</v>
      </c>
      <c r="H10" s="467"/>
      <c r="I10" s="467">
        <f t="shared" si="1"/>
        <v>11252488.41</v>
      </c>
      <c r="J10" s="467">
        <v>200000</v>
      </c>
      <c r="K10" s="467">
        <v>0.2</v>
      </c>
      <c r="L10" s="467">
        <f t="shared" si="2"/>
        <v>2250497.68200001</v>
      </c>
      <c r="M10" s="467">
        <f t="shared" si="3"/>
        <v>2450497.68200001</v>
      </c>
      <c r="N10" s="467">
        <f t="shared" si="4"/>
        <v>3426116.27200001</v>
      </c>
      <c r="O10" s="467">
        <f t="shared" si="5"/>
        <v>8801990.72800003</v>
      </c>
      <c r="P10" s="467">
        <f t="shared" si="1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1344477.77472001</v>
      </c>
      <c r="V10" s="467">
        <f t="shared" si="11"/>
        <v>1904477.77472001</v>
      </c>
      <c r="W10" s="474">
        <v>12</v>
      </c>
      <c r="X10" s="467">
        <f t="shared" si="12"/>
        <v>158706.481226667</v>
      </c>
      <c r="Y10" s="467"/>
      <c r="Z10" s="929">
        <f t="shared" si="13"/>
        <v>158706.481226667</v>
      </c>
      <c r="AA10" s="806">
        <v>129694.695226667</v>
      </c>
      <c r="AB10" s="806">
        <f t="shared" si="14"/>
        <v>29011.7860000005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1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1519421.86944</v>
      </c>
      <c r="V11" s="467">
        <f t="shared" si="11"/>
        <v>2079421.86944</v>
      </c>
      <c r="W11" s="474">
        <v>12</v>
      </c>
      <c r="X11" s="467">
        <f t="shared" si="12"/>
        <v>173285.155786667</v>
      </c>
      <c r="Y11" s="467"/>
      <c r="Z11" s="929">
        <f t="shared" si="13"/>
        <v>173285.155786667</v>
      </c>
      <c r="AA11" s="806">
        <v>150463.109674667</v>
      </c>
      <c r="AB11" s="806">
        <f t="shared" si="14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780713.916666666</v>
      </c>
      <c r="D12" s="466">
        <v>12</v>
      </c>
      <c r="E12" s="467">
        <f t="shared" si="0"/>
        <v>9368566.99999999</v>
      </c>
      <c r="F12" s="467"/>
      <c r="G12" s="467">
        <v>566070.72</v>
      </c>
      <c r="H12" s="467"/>
      <c r="I12" s="467">
        <f t="shared" si="1"/>
        <v>8802496.27999999</v>
      </c>
      <c r="J12" s="467">
        <v>200000</v>
      </c>
      <c r="K12" s="467">
        <v>0.2</v>
      </c>
      <c r="L12" s="467">
        <f t="shared" si="2"/>
        <v>1760499.256</v>
      </c>
      <c r="M12" s="467">
        <f t="shared" si="3"/>
        <v>1960499.256</v>
      </c>
      <c r="N12" s="467">
        <f t="shared" si="4"/>
        <v>2526569.976</v>
      </c>
      <c r="O12" s="467">
        <f t="shared" si="5"/>
        <v>6841997.02399999</v>
      </c>
      <c r="P12" s="467">
        <f t="shared" si="1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874079.285759999</v>
      </c>
      <c r="V12" s="467">
        <f t="shared" si="11"/>
        <v>1434079.28576</v>
      </c>
      <c r="W12" s="474">
        <v>12</v>
      </c>
      <c r="X12" s="467">
        <f t="shared" si="12"/>
        <v>119506.607146667</v>
      </c>
      <c r="Y12" s="467"/>
      <c r="Z12" s="929">
        <f t="shared" si="13"/>
        <v>119506.607146667</v>
      </c>
      <c r="AA12" s="806">
        <v>77666.4458666667</v>
      </c>
      <c r="AB12" s="806">
        <f t="shared" si="14"/>
        <v>41840.1612799999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932595.5</v>
      </c>
      <c r="D13" s="466">
        <v>12</v>
      </c>
      <c r="E13" s="467">
        <f t="shared" si="0"/>
        <v>11191146</v>
      </c>
      <c r="F13" s="467"/>
      <c r="G13" s="467">
        <v>693691.68</v>
      </c>
      <c r="H13" s="467"/>
      <c r="I13" s="467">
        <f t="shared" si="1"/>
        <v>10497454.32</v>
      </c>
      <c r="J13" s="467">
        <v>200000</v>
      </c>
      <c r="K13" s="467">
        <v>0.2</v>
      </c>
      <c r="L13" s="467">
        <f t="shared" si="2"/>
        <v>2099490.864</v>
      </c>
      <c r="M13" s="467">
        <f t="shared" si="3"/>
        <v>2299490.864</v>
      </c>
      <c r="N13" s="467">
        <f t="shared" si="4"/>
        <v>2993182.544</v>
      </c>
      <c r="O13" s="467">
        <f t="shared" si="5"/>
        <v>8197963.456</v>
      </c>
      <c r="P13" s="467">
        <f t="shared" si="1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1199511.22944</v>
      </c>
      <c r="V13" s="467">
        <f t="shared" si="11"/>
        <v>1759511.22944</v>
      </c>
      <c r="W13" s="474">
        <v>12</v>
      </c>
      <c r="X13" s="467">
        <f t="shared" si="12"/>
        <v>146625.935786667</v>
      </c>
      <c r="Y13" s="467"/>
      <c r="Z13" s="929">
        <f t="shared" si="13"/>
        <v>146625.935786667</v>
      </c>
      <c r="AA13" s="806">
        <v>141011.988957867</v>
      </c>
      <c r="AB13" s="806">
        <f t="shared" si="14"/>
        <v>5613.94682879967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1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1265691.71712</v>
      </c>
      <c r="V14" s="467">
        <f t="shared" si="11"/>
        <v>1825691.71712</v>
      </c>
      <c r="W14" s="474">
        <v>12</v>
      </c>
      <c r="X14" s="467">
        <f t="shared" si="12"/>
        <v>152140.976426667</v>
      </c>
      <c r="Y14" s="467"/>
      <c r="Z14" s="929">
        <f t="shared" si="13"/>
        <v>152140.976426667</v>
      </c>
      <c r="AA14" s="806">
        <v>131753.408426667</v>
      </c>
      <c r="AB14" s="806">
        <f t="shared" si="14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1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968809.274879998</v>
      </c>
      <c r="V15" s="467">
        <f t="shared" si="11"/>
        <v>1528809.27488</v>
      </c>
      <c r="W15" s="474">
        <v>12</v>
      </c>
      <c r="X15" s="467">
        <f t="shared" si="12"/>
        <v>127400.772906667</v>
      </c>
      <c r="Y15" s="467"/>
      <c r="Z15" s="929">
        <f t="shared" si="13"/>
        <v>127400.772906667</v>
      </c>
      <c r="AA15" s="806">
        <v>106452</v>
      </c>
      <c r="AB15" s="806">
        <f t="shared" si="14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50</v>
      </c>
      <c r="C16" s="465">
        <v>682419.5</v>
      </c>
      <c r="D16" s="466">
        <v>12</v>
      </c>
      <c r="E16" s="467">
        <f t="shared" si="0"/>
        <v>8189034</v>
      </c>
      <c r="F16" s="467"/>
      <c r="G16" s="467">
        <v>519697.279999999</v>
      </c>
      <c r="H16" s="467"/>
      <c r="I16" s="467">
        <f t="shared" si="1"/>
        <v>7669336.72</v>
      </c>
      <c r="J16" s="467">
        <v>200000</v>
      </c>
      <c r="K16" s="467">
        <v>0.2</v>
      </c>
      <c r="L16" s="467">
        <f t="shared" si="2"/>
        <v>1533867.344</v>
      </c>
      <c r="M16" s="467">
        <f t="shared" si="3"/>
        <v>1733867.344</v>
      </c>
      <c r="N16" s="467">
        <f t="shared" si="4"/>
        <v>2253564.624</v>
      </c>
      <c r="O16" s="467">
        <f t="shared" si="5"/>
        <v>5935469.376</v>
      </c>
      <c r="P16" s="467">
        <f t="shared" si="1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656512.65024</v>
      </c>
      <c r="V16" s="467">
        <f t="shared" si="11"/>
        <v>1216512.65024</v>
      </c>
      <c r="W16" s="474">
        <v>12</v>
      </c>
      <c r="X16" s="467">
        <f t="shared" si="12"/>
        <v>101376.054186667</v>
      </c>
      <c r="Y16" s="467"/>
      <c r="Z16" s="929">
        <f t="shared" si="13"/>
        <v>101376.054186667</v>
      </c>
      <c r="AA16" s="806">
        <v>77470.3741866667</v>
      </c>
      <c r="AB16" s="806">
        <f t="shared" si="14"/>
        <v>23905.68</v>
      </c>
      <c r="AC16" s="479"/>
      <c r="AD16" s="479"/>
      <c r="AE16" s="479"/>
    </row>
    <row r="17" ht="15.5" spans="1:31">
      <c r="A17" s="464">
        <v>14</v>
      </c>
      <c r="B17" s="351" t="s">
        <v>53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1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1018815.63744</v>
      </c>
      <c r="V17" s="467">
        <f t="shared" si="11"/>
        <v>1578815.63744</v>
      </c>
      <c r="W17" s="474">
        <v>12</v>
      </c>
      <c r="X17" s="467">
        <f t="shared" si="12"/>
        <v>131567.969786667</v>
      </c>
      <c r="Y17" s="467"/>
      <c r="Z17" s="929">
        <f t="shared" si="13"/>
        <v>131567.969786667</v>
      </c>
      <c r="AA17" s="806">
        <v>113474.903466667</v>
      </c>
      <c r="AB17" s="806">
        <f t="shared" si="14"/>
        <v>18093.0663199996</v>
      </c>
      <c r="AC17" s="479"/>
      <c r="AD17" s="479"/>
      <c r="AE17" s="479"/>
    </row>
    <row r="18" ht="15.5" spans="1:31">
      <c r="A18" s="464">
        <v>15</v>
      </c>
      <c r="B18" s="351" t="s">
        <v>56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1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381810.65952</v>
      </c>
      <c r="V18" s="467">
        <f t="shared" si="11"/>
        <v>941810.65952</v>
      </c>
      <c r="W18" s="474">
        <v>12</v>
      </c>
      <c r="X18" s="467">
        <f t="shared" si="12"/>
        <v>78484.2216266667</v>
      </c>
      <c r="Y18" s="467"/>
      <c r="Z18" s="929">
        <f t="shared" si="13"/>
        <v>78484.2216266667</v>
      </c>
      <c r="AA18" s="806">
        <v>61040.2353066666</v>
      </c>
      <c r="AB18" s="806">
        <f t="shared" si="14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59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1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514963.03872</v>
      </c>
      <c r="V19" s="467">
        <f t="shared" si="11"/>
        <v>1074963.03872</v>
      </c>
      <c r="W19" s="474">
        <v>12</v>
      </c>
      <c r="X19" s="467">
        <f t="shared" si="12"/>
        <v>89580.2532266667</v>
      </c>
      <c r="Y19" s="467"/>
      <c r="Z19" s="929">
        <f t="shared" si="13"/>
        <v>89580.2532266667</v>
      </c>
      <c r="AA19" s="806">
        <v>70640.2353066667</v>
      </c>
      <c r="AB19" s="806">
        <f t="shared" si="14"/>
        <v>18940.01792</v>
      </c>
      <c r="AC19" s="479"/>
      <c r="AD19" s="479"/>
      <c r="AE19" s="479"/>
    </row>
    <row r="20" ht="15.5" spans="1:31">
      <c r="A20" s="464">
        <v>17</v>
      </c>
      <c r="B20" s="643" t="s">
        <v>61</v>
      </c>
      <c r="C20" s="465">
        <v>802846.583333334</v>
      </c>
      <c r="D20" s="466">
        <v>12</v>
      </c>
      <c r="E20" s="467">
        <f t="shared" si="0"/>
        <v>9634159.00000001</v>
      </c>
      <c r="F20" s="467">
        <v>93328.325</v>
      </c>
      <c r="G20" s="467">
        <v>476637.28</v>
      </c>
      <c r="H20" s="467"/>
      <c r="I20" s="467">
        <f t="shared" si="1"/>
        <v>9064193.39500001</v>
      </c>
      <c r="J20" s="467">
        <v>200000</v>
      </c>
      <c r="K20" s="467">
        <v>0.2</v>
      </c>
      <c r="L20" s="467">
        <f t="shared" si="2"/>
        <v>1812838.679</v>
      </c>
      <c r="M20" s="467">
        <f t="shared" si="3"/>
        <v>2012838.679</v>
      </c>
      <c r="N20" s="467">
        <f t="shared" si="4"/>
        <v>2582804.284</v>
      </c>
      <c r="O20" s="467">
        <f t="shared" si="5"/>
        <v>7051354.71600001</v>
      </c>
      <c r="P20" s="467">
        <f t="shared" si="1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924325.131840001</v>
      </c>
      <c r="V20" s="467">
        <f t="shared" si="11"/>
        <v>1484325.13184</v>
      </c>
      <c r="W20" s="474">
        <v>12</v>
      </c>
      <c r="X20" s="467">
        <f t="shared" si="12"/>
        <v>123693.760986667</v>
      </c>
      <c r="Y20" s="467"/>
      <c r="Z20" s="929">
        <f t="shared" si="13"/>
        <v>123693.760986667</v>
      </c>
      <c r="AA20" s="806">
        <v>106297.15</v>
      </c>
      <c r="AB20" s="806">
        <f t="shared" si="14"/>
        <v>17396.6109866667</v>
      </c>
      <c r="AC20" s="479"/>
      <c r="AD20" s="479"/>
      <c r="AE20" s="479"/>
    </row>
    <row r="21" ht="15.5" spans="1:31">
      <c r="A21" s="464">
        <v>18</v>
      </c>
      <c r="B21" s="643" t="s">
        <v>64</v>
      </c>
      <c r="C21" s="465">
        <v>702846.583333333</v>
      </c>
      <c r="D21" s="466">
        <v>12</v>
      </c>
      <c r="E21" s="467">
        <f t="shared" si="0"/>
        <v>8434159</v>
      </c>
      <c r="F21" s="467"/>
      <c r="G21" s="467">
        <v>463356.160000001</v>
      </c>
      <c r="H21" s="467"/>
      <c r="I21" s="467">
        <f t="shared" si="1"/>
        <v>7970802.84</v>
      </c>
      <c r="J21" s="467">
        <v>200000</v>
      </c>
      <c r="K21" s="467">
        <v>0.2</v>
      </c>
      <c r="L21" s="467">
        <f t="shared" si="2"/>
        <v>1594160.568</v>
      </c>
      <c r="M21" s="467">
        <f t="shared" si="3"/>
        <v>1794160.568</v>
      </c>
      <c r="N21" s="467">
        <f t="shared" si="4"/>
        <v>2257516.728</v>
      </c>
      <c r="O21" s="467">
        <f t="shared" si="5"/>
        <v>6176642.272</v>
      </c>
      <c r="P21" s="467">
        <f t="shared" si="1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714394.145279999</v>
      </c>
      <c r="V21" s="467">
        <f t="shared" si="11"/>
        <v>1274394.14528</v>
      </c>
      <c r="W21" s="474">
        <v>12</v>
      </c>
      <c r="X21" s="467">
        <f t="shared" si="12"/>
        <v>106199.512106667</v>
      </c>
      <c r="Y21" s="467"/>
      <c r="Z21" s="929">
        <f t="shared" si="13"/>
        <v>106199.512106667</v>
      </c>
      <c r="AA21" s="806">
        <v>82601.2049066667</v>
      </c>
      <c r="AB21" s="806">
        <f t="shared" si="14"/>
        <v>23598.3071999999</v>
      </c>
      <c r="AC21" s="479"/>
      <c r="AD21" s="479"/>
      <c r="AE21" s="479"/>
    </row>
    <row r="22" ht="15.5" spans="1:31">
      <c r="A22" s="464">
        <v>19</v>
      </c>
      <c r="B22" s="639" t="s">
        <v>67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1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839640.798719999</v>
      </c>
      <c r="V22" s="467">
        <f t="shared" si="11"/>
        <v>1399640.79872</v>
      </c>
      <c r="W22" s="474">
        <v>12</v>
      </c>
      <c r="X22" s="467">
        <f t="shared" si="12"/>
        <v>116636.733226667</v>
      </c>
      <c r="Y22" s="467"/>
      <c r="Z22" s="929">
        <f t="shared" si="13"/>
        <v>116636.733226667</v>
      </c>
      <c r="AA22" s="806">
        <v>98711.1146666667</v>
      </c>
      <c r="AB22" s="806">
        <f t="shared" si="14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70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1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401880.798719999</v>
      </c>
      <c r="V23" s="467">
        <f t="shared" si="11"/>
        <v>961880.798719999</v>
      </c>
      <c r="W23" s="474">
        <v>12</v>
      </c>
      <c r="X23" s="467">
        <f t="shared" si="12"/>
        <v>80156.7332266666</v>
      </c>
      <c r="Y23" s="467"/>
      <c r="Z23" s="929">
        <f t="shared" si="13"/>
        <v>80156.7332266666</v>
      </c>
      <c r="AA23" s="806">
        <v>62231.1146666667</v>
      </c>
      <c r="AB23" s="806">
        <f t="shared" si="14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72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1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336000</v>
      </c>
      <c r="U24" s="467">
        <f t="shared" si="10"/>
        <v>590936.248319999</v>
      </c>
      <c r="V24" s="467">
        <f t="shared" si="11"/>
        <v>1150936.24832</v>
      </c>
      <c r="W24" s="474">
        <v>12</v>
      </c>
      <c r="X24" s="467">
        <f t="shared" si="12"/>
        <v>95911.3540266666</v>
      </c>
      <c r="Y24" s="467"/>
      <c r="Z24" s="929">
        <f t="shared" si="13"/>
        <v>95911.3540266666</v>
      </c>
      <c r="AA24" s="806">
        <v>80347.4269866667</v>
      </c>
      <c r="AB24" s="806">
        <f t="shared" si="14"/>
        <v>15563.9270399999</v>
      </c>
      <c r="AC24" s="479"/>
      <c r="AD24" s="479"/>
      <c r="AE24" s="479"/>
    </row>
    <row r="25" ht="15.5" spans="1:31">
      <c r="A25" s="464">
        <v>22</v>
      </c>
      <c r="B25" s="639" t="s">
        <v>75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1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336000</v>
      </c>
      <c r="U25" s="467">
        <f t="shared" si="10"/>
        <v>130136.248319998</v>
      </c>
      <c r="V25" s="467">
        <f t="shared" si="11"/>
        <v>690136.248319998</v>
      </c>
      <c r="W25" s="474">
        <v>12</v>
      </c>
      <c r="X25" s="467">
        <f t="shared" si="12"/>
        <v>57511.3540266665</v>
      </c>
      <c r="Y25" s="467"/>
      <c r="Z25" s="929">
        <f t="shared" si="13"/>
        <v>57511.3540266665</v>
      </c>
      <c r="AA25" s="806">
        <v>42537.3319466667</v>
      </c>
      <c r="AB25" s="806">
        <f t="shared" si="14"/>
        <v>14974.0220799998</v>
      </c>
      <c r="AC25" s="479"/>
      <c r="AD25" s="479"/>
      <c r="AE25" s="479"/>
    </row>
    <row r="26" ht="15.5" spans="1:31">
      <c r="A26" s="464">
        <v>23</v>
      </c>
      <c r="B26" s="86" t="s">
        <v>485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1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336000</v>
      </c>
      <c r="U26" s="467">
        <f t="shared" si="10"/>
        <v>75406.1107200006</v>
      </c>
      <c r="V26" s="467">
        <f t="shared" si="11"/>
        <v>635406.110720001</v>
      </c>
      <c r="W26" s="474">
        <v>12</v>
      </c>
      <c r="X26" s="467">
        <f t="shared" si="12"/>
        <v>52950.5092266667</v>
      </c>
      <c r="Y26" s="467"/>
      <c r="Z26" s="929">
        <f t="shared" si="13"/>
        <v>52950.5092266667</v>
      </c>
      <c r="AA26" s="806">
        <v>39052.3130666667</v>
      </c>
      <c r="AB26" s="806">
        <f t="shared" si="14"/>
        <v>13898.19616</v>
      </c>
      <c r="AC26" s="479"/>
      <c r="AD26" s="479"/>
      <c r="AE26" s="479"/>
    </row>
    <row r="27" ht="15.5" spans="1:31">
      <c r="A27" s="464">
        <v>24</v>
      </c>
      <c r="B27" s="351" t="s">
        <v>78</v>
      </c>
      <c r="C27" s="465">
        <v>499443.999999997</v>
      </c>
      <c r="D27" s="466">
        <v>12</v>
      </c>
      <c r="E27" s="467">
        <f t="shared" si="0"/>
        <v>5993327.99999997</v>
      </c>
      <c r="F27" s="467"/>
      <c r="G27" s="467">
        <v>341107.840000001</v>
      </c>
      <c r="H27" s="467"/>
      <c r="I27" s="467">
        <f t="shared" si="1"/>
        <v>5652220.15999997</v>
      </c>
      <c r="J27" s="467">
        <v>200000</v>
      </c>
      <c r="K27" s="467">
        <v>0.2</v>
      </c>
      <c r="L27" s="467">
        <f t="shared" si="2"/>
        <v>1130444.03199999</v>
      </c>
      <c r="M27" s="467">
        <f t="shared" si="3"/>
        <v>1330444.03199999</v>
      </c>
      <c r="N27" s="467">
        <f t="shared" si="4"/>
        <v>1671551.87199999</v>
      </c>
      <c r="O27" s="467">
        <f t="shared" si="5"/>
        <v>4321776.12799997</v>
      </c>
      <c r="P27" s="467">
        <f t="shared" si="15"/>
        <v>21000</v>
      </c>
      <c r="Q27" s="467">
        <f t="shared" si="6"/>
        <v>33000</v>
      </c>
      <c r="R27" s="467">
        <f t="shared" si="7"/>
        <v>75000</v>
      </c>
      <c r="S27" s="467">
        <f t="shared" si="8"/>
        <v>95000</v>
      </c>
      <c r="T27" s="467">
        <f t="shared" si="9"/>
        <v>336000</v>
      </c>
      <c r="U27" s="467">
        <f t="shared" si="10"/>
        <v>269226.270719993</v>
      </c>
      <c r="V27" s="467">
        <f t="shared" si="11"/>
        <v>829226.270719993</v>
      </c>
      <c r="W27" s="474">
        <v>12</v>
      </c>
      <c r="X27" s="467">
        <f t="shared" si="12"/>
        <v>69102.1892266661</v>
      </c>
      <c r="Y27" s="467"/>
      <c r="Z27" s="929">
        <f t="shared" si="13"/>
        <v>69102.1892266661</v>
      </c>
      <c r="AA27" s="806">
        <v>39052.3130666667</v>
      </c>
      <c r="AB27" s="806">
        <f t="shared" si="14"/>
        <v>30049.8761599994</v>
      </c>
      <c r="AC27" s="479"/>
      <c r="AD27" s="479"/>
      <c r="AE27" s="479"/>
    </row>
    <row r="28" ht="15.5" spans="1:31">
      <c r="A28" s="464">
        <v>25</v>
      </c>
      <c r="B28" s="643" t="s">
        <v>81</v>
      </c>
      <c r="C28" s="465">
        <v>684288.357142852</v>
      </c>
      <c r="D28" s="466">
        <v>12</v>
      </c>
      <c r="E28" s="467">
        <f t="shared" si="0"/>
        <v>8211460.28571422</v>
      </c>
      <c r="F28" s="467"/>
      <c r="G28" s="467">
        <v>341107.840000001</v>
      </c>
      <c r="H28" s="467"/>
      <c r="I28" s="467">
        <f t="shared" si="1"/>
        <v>7870352.44571422</v>
      </c>
      <c r="J28" s="467">
        <v>200000</v>
      </c>
      <c r="K28" s="467">
        <v>0.2</v>
      </c>
      <c r="L28" s="467">
        <f t="shared" si="2"/>
        <v>1574070.48914284</v>
      </c>
      <c r="M28" s="467">
        <f t="shared" si="3"/>
        <v>1774070.48914284</v>
      </c>
      <c r="N28" s="467">
        <f t="shared" si="4"/>
        <v>2115178.32914285</v>
      </c>
      <c r="O28" s="467">
        <f t="shared" si="5"/>
        <v>6096281.95657138</v>
      </c>
      <c r="P28" s="467">
        <f t="shared" si="1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336000</v>
      </c>
      <c r="U28" s="467">
        <f t="shared" si="10"/>
        <v>695107.669577131</v>
      </c>
      <c r="V28" s="467">
        <f t="shared" si="11"/>
        <v>1255107.66957713</v>
      </c>
      <c r="W28" s="474">
        <v>12</v>
      </c>
      <c r="X28" s="467">
        <f t="shared" si="12"/>
        <v>104592.305798094</v>
      </c>
      <c r="Y28" s="467"/>
      <c r="Z28" s="929">
        <f t="shared" si="13"/>
        <v>104592.305798094</v>
      </c>
      <c r="AA28" s="806">
        <v>45772.3130666667</v>
      </c>
      <c r="AB28" s="806">
        <f t="shared" si="14"/>
        <v>58819.9927314276</v>
      </c>
      <c r="AC28" s="479"/>
      <c r="AD28" s="479"/>
      <c r="AE28" s="479"/>
    </row>
    <row r="29" ht="15.5" spans="1:31">
      <c r="A29" s="464">
        <v>26</v>
      </c>
      <c r="B29" s="351" t="s">
        <v>83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1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336000</v>
      </c>
      <c r="U29" s="467">
        <f t="shared" si="10"/>
        <v>57803.2281599984</v>
      </c>
      <c r="V29" s="467">
        <f t="shared" si="11"/>
        <v>617803.228159998</v>
      </c>
      <c r="W29" s="474">
        <v>12</v>
      </c>
      <c r="X29" s="467">
        <f t="shared" si="12"/>
        <v>51483.6023466665</v>
      </c>
      <c r="Y29" s="467"/>
      <c r="Z29" s="929">
        <f t="shared" si="13"/>
        <v>51483.6023466665</v>
      </c>
      <c r="AA29" s="806">
        <v>37921.5005866667</v>
      </c>
      <c r="AB29" s="806">
        <f t="shared" si="14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86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1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336000</v>
      </c>
      <c r="U30" s="467">
        <f t="shared" si="10"/>
        <v>40200.3456000005</v>
      </c>
      <c r="V30" s="467">
        <f t="shared" si="11"/>
        <v>600200.3456</v>
      </c>
      <c r="W30" s="474">
        <v>12</v>
      </c>
      <c r="X30" s="467">
        <f t="shared" si="12"/>
        <v>50016.6954666667</v>
      </c>
      <c r="Y30" s="467"/>
      <c r="Z30" s="929">
        <f t="shared" si="13"/>
        <v>50016.6954666667</v>
      </c>
      <c r="AA30" s="806">
        <v>36790.6881066667</v>
      </c>
      <c r="AB30" s="806">
        <f t="shared" si="14"/>
        <v>13226.00736</v>
      </c>
      <c r="AC30" s="479"/>
      <c r="AD30" s="479"/>
      <c r="AE30" s="479"/>
    </row>
    <row r="31" ht="15.5" spans="1:31">
      <c r="A31" s="464">
        <v>28</v>
      </c>
      <c r="B31" s="351" t="s">
        <v>89</v>
      </c>
      <c r="C31" s="465">
        <v>502248.182795697</v>
      </c>
      <c r="D31" s="466">
        <v>12</v>
      </c>
      <c r="E31" s="467">
        <f t="shared" si="0"/>
        <v>6026978.19354836</v>
      </c>
      <c r="F31" s="467"/>
      <c r="G31" s="468">
        <v>325163.200000001</v>
      </c>
      <c r="H31" s="467"/>
      <c r="I31" s="467">
        <f t="shared" si="1"/>
        <v>5701814.99354836</v>
      </c>
      <c r="J31" s="467">
        <v>200000</v>
      </c>
      <c r="K31" s="467">
        <v>0.2</v>
      </c>
      <c r="L31" s="467">
        <f t="shared" si="2"/>
        <v>1140362.99870967</v>
      </c>
      <c r="M31" s="467">
        <f t="shared" si="3"/>
        <v>1340362.99870967</v>
      </c>
      <c r="N31" s="467">
        <f t="shared" si="4"/>
        <v>1665526.19870967</v>
      </c>
      <c r="O31" s="467">
        <f t="shared" si="5"/>
        <v>4361451.99483869</v>
      </c>
      <c r="P31" s="467">
        <f t="shared" si="1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336000</v>
      </c>
      <c r="U31" s="467">
        <f t="shared" si="10"/>
        <v>278748.478761286</v>
      </c>
      <c r="V31" s="467">
        <f t="shared" si="11"/>
        <v>838748.478761286</v>
      </c>
      <c r="W31" s="474">
        <v>12</v>
      </c>
      <c r="X31" s="467">
        <f t="shared" si="12"/>
        <v>69895.7065634405</v>
      </c>
      <c r="Y31" s="467"/>
      <c r="Z31" s="929">
        <f t="shared" si="13"/>
        <v>69895.7065634405</v>
      </c>
      <c r="AA31" s="806">
        <v>36790.6881066667</v>
      </c>
      <c r="AB31" s="806">
        <f t="shared" si="14"/>
        <v>33105.0184567738</v>
      </c>
      <c r="AC31" s="479"/>
      <c r="AD31" s="479"/>
      <c r="AE31" s="479"/>
    </row>
    <row r="32" ht="15.5" spans="1:31">
      <c r="A32" s="464">
        <v>29</v>
      </c>
      <c r="B32" s="351" t="s">
        <v>91</v>
      </c>
      <c r="C32" s="465">
        <v>467422.860215052</v>
      </c>
      <c r="D32" s="466">
        <v>12</v>
      </c>
      <c r="E32" s="467">
        <f t="shared" si="0"/>
        <v>5609074.32258062</v>
      </c>
      <c r="F32" s="467"/>
      <c r="G32" s="468">
        <v>341107.840000001</v>
      </c>
      <c r="H32" s="467"/>
      <c r="I32" s="467">
        <f t="shared" si="1"/>
        <v>5267966.48258062</v>
      </c>
      <c r="J32" s="467">
        <v>200000</v>
      </c>
      <c r="K32" s="467">
        <v>0.2</v>
      </c>
      <c r="L32" s="467">
        <f t="shared" si="2"/>
        <v>1053593.29651612</v>
      </c>
      <c r="M32" s="467">
        <f t="shared" si="3"/>
        <v>1253593.29651612</v>
      </c>
      <c r="N32" s="467">
        <f t="shared" si="4"/>
        <v>1594701.13651613</v>
      </c>
      <c r="O32" s="467">
        <f t="shared" si="5"/>
        <v>4014373.1860645</v>
      </c>
      <c r="P32" s="467">
        <f t="shared" si="1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336000</v>
      </c>
      <c r="U32" s="467">
        <f t="shared" si="10"/>
        <v>195449.564655479</v>
      </c>
      <c r="V32" s="467">
        <f t="shared" si="11"/>
        <v>755449.564655479</v>
      </c>
      <c r="W32" s="474">
        <v>12</v>
      </c>
      <c r="X32" s="467">
        <f t="shared" si="12"/>
        <v>62954.1303879566</v>
      </c>
      <c r="Y32" s="467"/>
      <c r="Z32" s="929">
        <f t="shared" si="13"/>
        <v>62954.1303879566</v>
      </c>
      <c r="AA32" s="806">
        <v>39052.3130666667</v>
      </c>
      <c r="AB32" s="806">
        <f t="shared" si="14"/>
        <v>23901.8173212899</v>
      </c>
      <c r="AC32" s="479"/>
      <c r="AD32" s="479"/>
      <c r="AE32" s="479"/>
    </row>
    <row r="33" ht="15.5" spans="1:31">
      <c r="A33" s="464">
        <v>31</v>
      </c>
      <c r="B33" s="351" t="s">
        <v>93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15"/>
        <v>21000</v>
      </c>
      <c r="Q33" s="467">
        <f t="shared" si="6"/>
        <v>33000</v>
      </c>
      <c r="R33" s="467">
        <f t="shared" si="7"/>
        <v>75000</v>
      </c>
      <c r="S33" s="467">
        <f t="shared" si="8"/>
        <v>95000</v>
      </c>
      <c r="T33" s="467">
        <f t="shared" si="9"/>
        <v>336000</v>
      </c>
      <c r="U33" s="467">
        <f t="shared" si="10"/>
        <v>37138.9747200005</v>
      </c>
      <c r="V33" s="467">
        <f t="shared" si="11"/>
        <v>597138.974720001</v>
      </c>
      <c r="W33" s="474">
        <v>12</v>
      </c>
      <c r="X33" s="467">
        <f t="shared" si="12"/>
        <v>49761.5812266667</v>
      </c>
      <c r="Y33" s="467"/>
      <c r="Z33" s="929">
        <f t="shared" si="13"/>
        <v>49761.5812266667</v>
      </c>
      <c r="AA33" s="806">
        <v>36790.6881066667</v>
      </c>
      <c r="AB33" s="806">
        <f t="shared" si="14"/>
        <v>12970.89312</v>
      </c>
      <c r="AC33" s="479"/>
      <c r="AD33" s="479"/>
      <c r="AE33" s="479"/>
    </row>
    <row r="34" ht="15.5" spans="1:31">
      <c r="A34" s="464">
        <v>32</v>
      </c>
      <c r="B34" s="351" t="s">
        <v>95</v>
      </c>
      <c r="C34" s="467">
        <v>432145.333333333</v>
      </c>
      <c r="D34" s="466">
        <v>12</v>
      </c>
      <c r="E34" s="467">
        <f t="shared" si="0"/>
        <v>5185744</v>
      </c>
      <c r="F34" s="467"/>
      <c r="G34" s="468">
        <v>341107.840000001</v>
      </c>
      <c r="H34" s="467"/>
      <c r="I34" s="467">
        <f t="shared" si="1"/>
        <v>4844636.16</v>
      </c>
      <c r="J34" s="467">
        <v>200000</v>
      </c>
      <c r="K34" s="467">
        <v>0.2</v>
      </c>
      <c r="L34" s="467">
        <f t="shared" si="2"/>
        <v>968927.231999999</v>
      </c>
      <c r="M34" s="467">
        <f t="shared" si="3"/>
        <v>1168927.232</v>
      </c>
      <c r="N34" s="467">
        <f t="shared" si="4"/>
        <v>1510035.072</v>
      </c>
      <c r="O34" s="467">
        <f t="shared" si="5"/>
        <v>3675708.928</v>
      </c>
      <c r="P34" s="467">
        <f t="shared" si="15"/>
        <v>21000</v>
      </c>
      <c r="Q34" s="467">
        <f t="shared" si="6"/>
        <v>33000</v>
      </c>
      <c r="R34" s="467">
        <f t="shared" si="7"/>
        <v>75000</v>
      </c>
      <c r="S34" s="467">
        <f t="shared" si="8"/>
        <v>95000</v>
      </c>
      <c r="T34" s="467">
        <f t="shared" si="9"/>
        <v>336000</v>
      </c>
      <c r="U34" s="467">
        <f t="shared" si="10"/>
        <v>114170.142719999</v>
      </c>
      <c r="V34" s="467">
        <f t="shared" si="11"/>
        <v>674170.142719999</v>
      </c>
      <c r="W34" s="474">
        <v>12</v>
      </c>
      <c r="X34" s="467">
        <f t="shared" si="12"/>
        <v>56180.8452266666</v>
      </c>
      <c r="Y34" s="467"/>
      <c r="Z34" s="929">
        <f t="shared" si="13"/>
        <v>56180.8452266666</v>
      </c>
      <c r="AA34" s="806">
        <v>36790.6881066667</v>
      </c>
      <c r="AB34" s="806">
        <f t="shared" si="14"/>
        <v>19390.1571199999</v>
      </c>
      <c r="AC34" s="479"/>
      <c r="AD34" s="479"/>
      <c r="AE34" s="479"/>
    </row>
    <row r="35" ht="15.5" spans="1:31">
      <c r="A35" s="464">
        <v>33</v>
      </c>
      <c r="B35" s="351" t="s">
        <v>103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15"/>
        <v>21000</v>
      </c>
      <c r="Q35" s="467">
        <f t="shared" si="6"/>
        <v>33000</v>
      </c>
      <c r="R35" s="467">
        <f t="shared" si="7"/>
        <v>75000</v>
      </c>
      <c r="S35" s="467">
        <f t="shared" si="8"/>
        <v>95000</v>
      </c>
      <c r="T35" s="467">
        <f t="shared" si="9"/>
        <v>282759.90624</v>
      </c>
      <c r="U35" s="467"/>
      <c r="V35" s="467">
        <f t="shared" si="11"/>
        <v>506759.90624</v>
      </c>
      <c r="W35" s="467">
        <v>12</v>
      </c>
      <c r="X35" s="467">
        <f t="shared" si="12"/>
        <v>42229.9921866667</v>
      </c>
      <c r="Y35" s="467"/>
      <c r="Z35" s="929">
        <f t="shared" si="13"/>
        <v>42229.9921866667</v>
      </c>
      <c r="AA35" s="467">
        <v>30259.1656266667</v>
      </c>
      <c r="AB35" s="806">
        <f t="shared" si="14"/>
        <v>11970.82656</v>
      </c>
      <c r="AC35" s="479"/>
      <c r="AD35" s="479"/>
      <c r="AE35" s="479"/>
    </row>
    <row r="36" ht="31" spans="1:31">
      <c r="A36" s="464">
        <v>34</v>
      </c>
      <c r="B36" s="351" t="s">
        <v>106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15"/>
        <v>21000</v>
      </c>
      <c r="Q36" s="467">
        <f t="shared" si="6"/>
        <v>33000</v>
      </c>
      <c r="R36" s="467">
        <f t="shared" si="7"/>
        <v>75000</v>
      </c>
      <c r="S36" s="467">
        <f t="shared" si="8"/>
        <v>95000</v>
      </c>
      <c r="T36" s="467">
        <f t="shared" si="9"/>
        <v>269758.473600001</v>
      </c>
      <c r="U36" s="467"/>
      <c r="V36" s="467">
        <f t="shared" si="11"/>
        <v>493758.473600001</v>
      </c>
      <c r="W36" s="467">
        <v>12</v>
      </c>
      <c r="X36" s="467">
        <f t="shared" si="12"/>
        <v>41146.5394666667</v>
      </c>
      <c r="Y36" s="467"/>
      <c r="Z36" s="929">
        <f t="shared" si="13"/>
        <v>41146.5394666667</v>
      </c>
      <c r="AA36" s="806">
        <v>29305.1955466667</v>
      </c>
      <c r="AB36" s="806">
        <f t="shared" si="14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121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122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127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129</v>
      </c>
      <c r="C41" s="467">
        <v>655929.27222222</v>
      </c>
      <c r="D41" s="466">
        <v>12</v>
      </c>
      <c r="E41" s="467">
        <f t="shared" si="16"/>
        <v>7871151.26666664</v>
      </c>
      <c r="F41" s="467"/>
      <c r="G41" s="467">
        <v>374530.4</v>
      </c>
      <c r="H41" s="467"/>
      <c r="I41" s="467">
        <f t="shared" si="17"/>
        <v>7496620.86666664</v>
      </c>
      <c r="J41" s="467">
        <v>200000</v>
      </c>
      <c r="K41" s="467">
        <v>0.2</v>
      </c>
      <c r="L41" s="467">
        <f t="shared" si="18"/>
        <v>1499324.17333333</v>
      </c>
      <c r="M41" s="467">
        <f t="shared" si="19"/>
        <v>1699324.17333333</v>
      </c>
      <c r="N41" s="467">
        <f t="shared" si="20"/>
        <v>2073854.57333333</v>
      </c>
      <c r="O41" s="467">
        <f t="shared" si="21"/>
        <v>5797296.69333331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623351.206399995</v>
      </c>
      <c r="V41" s="467">
        <f t="shared" si="28"/>
        <v>1183351.20639999</v>
      </c>
      <c r="W41" s="474">
        <v>12</v>
      </c>
      <c r="X41" s="467">
        <f t="shared" si="29"/>
        <v>98612.6005333329</v>
      </c>
      <c r="Y41" s="467"/>
      <c r="Z41" s="929">
        <f t="shared" si="30"/>
        <v>98612.6005333329</v>
      </c>
      <c r="AA41" s="806">
        <v>43763.9072266667</v>
      </c>
      <c r="AB41" s="806">
        <f t="shared" si="31"/>
        <v>54848.6933066662</v>
      </c>
      <c r="AC41" s="479"/>
      <c r="AD41" s="479"/>
      <c r="AE41" s="479"/>
    </row>
    <row r="42" ht="15.5" spans="1:31">
      <c r="A42" s="464"/>
      <c r="B42" s="643" t="s">
        <v>133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137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138</v>
      </c>
      <c r="C45" s="465">
        <v>1847612</v>
      </c>
      <c r="D45" s="466">
        <v>12</v>
      </c>
      <c r="E45" s="467">
        <f t="shared" ref="E45:E52" si="32">C45*D45</f>
        <v>22171344</v>
      </c>
      <c r="F45" s="467"/>
      <c r="G45" s="468">
        <v>869094.48</v>
      </c>
      <c r="H45" s="467"/>
      <c r="I45" s="467">
        <f t="shared" ref="I45:I52" si="33">E45-F45-G45-H45</f>
        <v>21302249.52</v>
      </c>
      <c r="J45" s="467">
        <v>200000</v>
      </c>
      <c r="K45" s="467">
        <v>0.2</v>
      </c>
      <c r="L45" s="467">
        <f t="shared" ref="L45:L52" si="34">I45*K45</f>
        <v>4260449.904</v>
      </c>
      <c r="M45" s="467">
        <f t="shared" ref="M45:M52" si="35">J45+L45</f>
        <v>4460449.904</v>
      </c>
      <c r="N45" s="467">
        <f t="shared" ref="N45:N52" si="36">F45+G45+H45+M45</f>
        <v>5329544.384</v>
      </c>
      <c r="O45" s="467">
        <f t="shared" ref="O45:O52" si="37">E45-N45</f>
        <v>16841799.616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3274031.90784</v>
      </c>
      <c r="V45" s="467">
        <f t="shared" ref="V45:V52" si="43">P45+Q45+R45+S45+T45+U45</f>
        <v>3834031.90784</v>
      </c>
      <c r="W45" s="474">
        <v>12</v>
      </c>
      <c r="X45" s="467">
        <f t="shared" ref="X45:X52" si="44">V45/W45</f>
        <v>319502.658986667</v>
      </c>
      <c r="Y45" s="467"/>
      <c r="Z45" s="929">
        <f t="shared" ref="Z45:Z52" si="45">X45</f>
        <v>319502.658986667</v>
      </c>
      <c r="AA45" s="806">
        <v>162999.59</v>
      </c>
      <c r="AB45" s="806">
        <f t="shared" ref="AB45:AB52" si="46">Z45-AA45</f>
        <v>156503.068986667</v>
      </c>
      <c r="AC45" s="479"/>
      <c r="AD45" s="479"/>
      <c r="AE45" s="479"/>
    </row>
    <row r="46" ht="15.5" spans="1:31">
      <c r="A46" s="464">
        <v>36</v>
      </c>
      <c r="B46" s="643" t="s">
        <v>141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143</v>
      </c>
      <c r="C47" s="467">
        <v>968360</v>
      </c>
      <c r="D47" s="466">
        <v>12</v>
      </c>
      <c r="E47" s="467">
        <f t="shared" si="32"/>
        <v>11620320</v>
      </c>
      <c r="F47" s="470"/>
      <c r="G47" s="468"/>
      <c r="H47" s="470"/>
      <c r="I47" s="467">
        <f t="shared" si="33"/>
        <v>11620320</v>
      </c>
      <c r="J47" s="467">
        <v>200000</v>
      </c>
      <c r="K47" s="467">
        <v>0.2</v>
      </c>
      <c r="L47" s="467">
        <f t="shared" si="34"/>
        <v>2324064</v>
      </c>
      <c r="M47" s="467">
        <f t="shared" si="35"/>
        <v>2524064</v>
      </c>
      <c r="N47" s="467">
        <f t="shared" si="36"/>
        <v>2524064</v>
      </c>
      <c r="O47" s="467">
        <f t="shared" si="37"/>
        <v>9096256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1415101.44</v>
      </c>
      <c r="V47" s="467">
        <f t="shared" si="43"/>
        <v>1975101.44</v>
      </c>
      <c r="W47" s="474">
        <v>12</v>
      </c>
      <c r="X47" s="467">
        <f t="shared" si="44"/>
        <v>164591.786666667</v>
      </c>
      <c r="Y47" s="470"/>
      <c r="Z47" s="929">
        <f t="shared" si="45"/>
        <v>164591.786666667</v>
      </c>
      <c r="AA47" s="806">
        <v>118861.965706667</v>
      </c>
      <c r="AB47" s="806">
        <f t="shared" si="46"/>
        <v>45729.8209599996</v>
      </c>
      <c r="AC47" s="479"/>
      <c r="AD47" s="479"/>
      <c r="AE47" s="479"/>
    </row>
    <row r="48" ht="15.5" spans="1:31">
      <c r="A48" s="464">
        <v>38</v>
      </c>
      <c r="B48" s="643" t="s">
        <v>144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145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149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153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154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156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157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159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162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163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165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169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171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172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173</v>
      </c>
      <c r="C64" s="467">
        <v>620586.309139783</v>
      </c>
      <c r="D64" s="466">
        <v>12</v>
      </c>
      <c r="E64" s="467">
        <f t="shared" si="48"/>
        <v>7447035.7096774</v>
      </c>
      <c r="F64" s="467"/>
      <c r="G64" s="468">
        <v>463356.160000001</v>
      </c>
      <c r="H64" s="470"/>
      <c r="I64" s="467">
        <f t="shared" si="49"/>
        <v>6983679.5496774</v>
      </c>
      <c r="J64" s="467">
        <v>200000</v>
      </c>
      <c r="K64" s="467">
        <v>0.2</v>
      </c>
      <c r="L64" s="467">
        <f t="shared" si="50"/>
        <v>1396735.90993548</v>
      </c>
      <c r="M64" s="467">
        <f t="shared" si="51"/>
        <v>1596735.90993548</v>
      </c>
      <c r="N64" s="467">
        <f t="shared" si="52"/>
        <v>2060092.06993548</v>
      </c>
      <c r="O64" s="467">
        <f t="shared" si="53"/>
        <v>5386943.63974192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524866.47353806</v>
      </c>
      <c r="V64" s="467">
        <f t="shared" si="60"/>
        <v>1084866.47353806</v>
      </c>
      <c r="W64" s="474">
        <v>12</v>
      </c>
      <c r="X64" s="467">
        <f t="shared" si="61"/>
        <v>90405.539461505</v>
      </c>
      <c r="Y64" s="470"/>
      <c r="Z64" s="929">
        <f t="shared" si="62"/>
        <v>90405.539461505</v>
      </c>
      <c r="AA64" s="806">
        <v>66538.0689066667</v>
      </c>
      <c r="AB64" s="806">
        <f t="shared" si="63"/>
        <v>23867.4705548383</v>
      </c>
      <c r="AC64" s="479"/>
      <c r="AD64" s="479"/>
      <c r="AE64" s="479"/>
    </row>
    <row r="65" ht="15.5" spans="1:31">
      <c r="A65" s="464">
        <v>56</v>
      </c>
      <c r="B65" s="643" t="s">
        <v>177</v>
      </c>
      <c r="C65" s="467">
        <v>490135.833333334</v>
      </c>
      <c r="D65" s="466">
        <v>12</v>
      </c>
      <c r="E65" s="467">
        <f t="shared" si="48"/>
        <v>5881630.00000001</v>
      </c>
      <c r="F65" s="467">
        <f>6154.27916666668*12</f>
        <v>73851.3500000002</v>
      </c>
      <c r="G65" s="468">
        <v>374530.4</v>
      </c>
      <c r="H65" s="470"/>
      <c r="I65" s="467">
        <f t="shared" si="49"/>
        <v>5433248.25000001</v>
      </c>
      <c r="J65" s="467">
        <v>200000</v>
      </c>
      <c r="K65" s="467">
        <v>0.2</v>
      </c>
      <c r="L65" s="467">
        <f t="shared" si="50"/>
        <v>1086649.65</v>
      </c>
      <c r="M65" s="467">
        <f t="shared" si="51"/>
        <v>1286649.65</v>
      </c>
      <c r="N65" s="467">
        <f t="shared" si="52"/>
        <v>1735031.4</v>
      </c>
      <c r="O65" s="467">
        <f t="shared" si="53"/>
        <v>4146598.60000001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227183.664000002</v>
      </c>
      <c r="V65" s="467">
        <f t="shared" si="60"/>
        <v>787183.664000002</v>
      </c>
      <c r="W65" s="474">
        <v>12</v>
      </c>
      <c r="X65" s="467">
        <f t="shared" si="61"/>
        <v>65598.6386666668</v>
      </c>
      <c r="Y65" s="470"/>
      <c r="Z65" s="929">
        <f t="shared" si="62"/>
        <v>65598.6386666668</v>
      </c>
      <c r="AA65" s="806">
        <v>51029.2273066667</v>
      </c>
      <c r="AB65" s="806">
        <f t="shared" si="63"/>
        <v>14569.4113600001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180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181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185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187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194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198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200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202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203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205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208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209</v>
      </c>
      <c r="C79" s="467">
        <v>698165.25</v>
      </c>
      <c r="D79" s="466">
        <v>12</v>
      </c>
      <c r="E79" s="467">
        <f t="shared" si="80"/>
        <v>8377983</v>
      </c>
      <c r="F79" s="467"/>
      <c r="G79" s="468">
        <v>535838.64</v>
      </c>
      <c r="H79" s="470"/>
      <c r="I79" s="467">
        <f t="shared" si="81"/>
        <v>7842144.36</v>
      </c>
      <c r="J79" s="467">
        <v>200000</v>
      </c>
      <c r="K79" s="467">
        <v>0.2</v>
      </c>
      <c r="L79" s="467">
        <f t="shared" si="82"/>
        <v>1568428.872</v>
      </c>
      <c r="M79" s="467">
        <f t="shared" si="83"/>
        <v>1768428.872</v>
      </c>
      <c r="N79" s="467">
        <f t="shared" si="84"/>
        <v>2304267.512</v>
      </c>
      <c r="O79" s="467">
        <f t="shared" si="85"/>
        <v>6073715.488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689691.71712</v>
      </c>
      <c r="V79" s="467">
        <f t="shared" si="92"/>
        <v>1249691.71712</v>
      </c>
      <c r="W79" s="474">
        <v>12</v>
      </c>
      <c r="X79" s="467">
        <f t="shared" si="93"/>
        <v>104140.976426667</v>
      </c>
      <c r="Y79" s="470"/>
      <c r="Z79" s="929">
        <f t="shared" si="94"/>
        <v>104140.976426667</v>
      </c>
      <c r="AA79" s="467">
        <v>83767.87</v>
      </c>
      <c r="AB79" s="806">
        <f t="shared" si="95"/>
        <v>20373.1064266667</v>
      </c>
      <c r="AC79" s="479"/>
      <c r="AD79" s="479"/>
      <c r="AE79" s="479"/>
    </row>
    <row r="80" ht="15.5" spans="1:31">
      <c r="A80" s="464">
        <v>72</v>
      </c>
      <c r="B80" s="643" t="s">
        <v>210</v>
      </c>
      <c r="C80" s="467">
        <v>698166.25</v>
      </c>
      <c r="D80" s="466">
        <v>12</v>
      </c>
      <c r="E80" s="467">
        <f t="shared" si="80"/>
        <v>8377995</v>
      </c>
      <c r="F80" s="467">
        <v>104315.075</v>
      </c>
      <c r="G80" s="468">
        <v>535839.6</v>
      </c>
      <c r="H80" s="470"/>
      <c r="I80" s="467">
        <f t="shared" si="81"/>
        <v>7737840.325</v>
      </c>
      <c r="J80" s="467">
        <v>200000</v>
      </c>
      <c r="K80" s="467">
        <v>0.2</v>
      </c>
      <c r="L80" s="467">
        <f t="shared" si="82"/>
        <v>1547568.065</v>
      </c>
      <c r="M80" s="467">
        <f t="shared" si="83"/>
        <v>1747568.065</v>
      </c>
      <c r="N80" s="467">
        <f t="shared" si="84"/>
        <v>2387722.74</v>
      </c>
      <c r="O80" s="467">
        <f t="shared" si="85"/>
        <v>5990272.26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669665.3424</v>
      </c>
      <c r="V80" s="467">
        <f t="shared" si="92"/>
        <v>1229665.3424</v>
      </c>
      <c r="W80" s="474">
        <v>12</v>
      </c>
      <c r="X80" s="467">
        <f t="shared" si="93"/>
        <v>102472.111866667</v>
      </c>
      <c r="Y80" s="470"/>
      <c r="Z80" s="929">
        <f t="shared" si="94"/>
        <v>102472.111866667</v>
      </c>
      <c r="AA80" s="467">
        <v>83753.4084266666</v>
      </c>
      <c r="AB80" s="806">
        <f t="shared" si="95"/>
        <v>18718.7034400001</v>
      </c>
      <c r="AC80" s="479"/>
      <c r="AD80" s="479"/>
      <c r="AE80" s="479"/>
    </row>
    <row r="81" ht="31" spans="1:31">
      <c r="A81" s="464">
        <v>73</v>
      </c>
      <c r="B81" s="643" t="s">
        <v>211</v>
      </c>
      <c r="C81" s="467">
        <v>682419.5</v>
      </c>
      <c r="D81" s="466">
        <v>12</v>
      </c>
      <c r="E81" s="467">
        <f t="shared" si="80"/>
        <v>8189034</v>
      </c>
      <c r="F81" s="467"/>
      <c r="G81" s="468">
        <v>520722.72</v>
      </c>
      <c r="H81" s="470"/>
      <c r="I81" s="467">
        <f t="shared" si="81"/>
        <v>7668311.28</v>
      </c>
      <c r="J81" s="467">
        <v>200000</v>
      </c>
      <c r="K81" s="467">
        <v>0.2</v>
      </c>
      <c r="L81" s="467">
        <f t="shared" si="82"/>
        <v>1533662.256</v>
      </c>
      <c r="M81" s="467">
        <f t="shared" si="83"/>
        <v>1733662.256</v>
      </c>
      <c r="N81" s="467">
        <f t="shared" si="84"/>
        <v>2254384.976</v>
      </c>
      <c r="O81" s="467">
        <f t="shared" si="85"/>
        <v>5934649.024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656315.76576</v>
      </c>
      <c r="V81" s="467">
        <f t="shared" si="92"/>
        <v>1216315.76576</v>
      </c>
      <c r="W81" s="474">
        <v>12</v>
      </c>
      <c r="X81" s="467">
        <f t="shared" si="93"/>
        <v>101359.647146667</v>
      </c>
      <c r="Y81" s="470"/>
      <c r="Z81" s="929">
        <f t="shared" si="94"/>
        <v>101359.647146667</v>
      </c>
      <c r="AA81" s="467">
        <v>81302.3959466667</v>
      </c>
      <c r="AB81" s="806">
        <f t="shared" si="95"/>
        <v>20057.2512</v>
      </c>
      <c r="AC81" s="479"/>
      <c r="AD81" s="479"/>
      <c r="AE81" s="479"/>
    </row>
    <row r="82" ht="15.5" spans="1:31">
      <c r="A82" s="464">
        <v>74</v>
      </c>
      <c r="B82" s="643" t="s">
        <v>213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214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217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221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224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225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8" spans="1:31">
      <c r="A90" s="464">
        <v>80</v>
      </c>
      <c r="B90" s="643" t="s">
        <v>227</v>
      </c>
      <c r="C90" s="937">
        <v>870286.75</v>
      </c>
      <c r="D90" s="466">
        <v>12</v>
      </c>
      <c r="E90" s="467">
        <f t="shared" si="96"/>
        <v>10443441</v>
      </c>
      <c r="F90" s="467"/>
      <c r="G90" s="468">
        <v>550954.64</v>
      </c>
      <c r="H90" s="470"/>
      <c r="I90" s="467">
        <f t="shared" si="97"/>
        <v>9892486.36</v>
      </c>
      <c r="J90" s="467">
        <v>200000</v>
      </c>
      <c r="K90" s="467">
        <v>0.2</v>
      </c>
      <c r="L90" s="467">
        <f t="shared" si="98"/>
        <v>1978497.272</v>
      </c>
      <c r="M90" s="467">
        <f t="shared" si="99"/>
        <v>2178497.272</v>
      </c>
      <c r="N90" s="467">
        <f t="shared" si="100"/>
        <v>2729451.912</v>
      </c>
      <c r="O90" s="467">
        <f t="shared" si="101"/>
        <v>7713989.088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1083357.38112</v>
      </c>
      <c r="V90" s="467">
        <f t="shared" si="108"/>
        <v>1643357.38112</v>
      </c>
      <c r="W90" s="474">
        <v>12</v>
      </c>
      <c r="X90" s="467">
        <f t="shared" si="109"/>
        <v>136946.448426667</v>
      </c>
      <c r="Y90" s="470"/>
      <c r="Z90" s="929">
        <f t="shared" si="110"/>
        <v>136946.448426667</v>
      </c>
      <c r="AA90" s="806">
        <v>72764.4209066667</v>
      </c>
      <c r="AB90" s="806">
        <f t="shared" si="111"/>
        <v>64182.0275199999</v>
      </c>
      <c r="AC90" s="479"/>
      <c r="AD90" s="479"/>
      <c r="AE90" s="479"/>
    </row>
    <row r="91" ht="15.5" spans="1:31">
      <c r="A91" s="464">
        <v>81</v>
      </c>
      <c r="B91" s="643" t="s">
        <v>229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233</v>
      </c>
      <c r="C92" s="467">
        <v>580770.22580645</v>
      </c>
      <c r="D92" s="466">
        <v>12</v>
      </c>
      <c r="E92" s="467">
        <f t="shared" si="96"/>
        <v>6969242.7096774</v>
      </c>
      <c r="F92" s="467"/>
      <c r="G92" s="468">
        <v>463356.160000001</v>
      </c>
      <c r="H92" s="470"/>
      <c r="I92" s="467">
        <f t="shared" si="97"/>
        <v>6505886.5496774</v>
      </c>
      <c r="J92" s="467">
        <v>200000</v>
      </c>
      <c r="K92" s="467">
        <v>0.2</v>
      </c>
      <c r="L92" s="467">
        <f t="shared" si="98"/>
        <v>1301177.30993548</v>
      </c>
      <c r="M92" s="467">
        <f t="shared" si="99"/>
        <v>1501177.30993548</v>
      </c>
      <c r="N92" s="467">
        <f t="shared" si="100"/>
        <v>1964533.46993548</v>
      </c>
      <c r="O92" s="467">
        <f t="shared" si="101"/>
        <v>5004709.23974192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433130.217538061</v>
      </c>
      <c r="V92" s="467">
        <f t="shared" si="108"/>
        <v>993130.217538061</v>
      </c>
      <c r="W92" s="474">
        <v>12</v>
      </c>
      <c r="X92" s="467">
        <f t="shared" si="109"/>
        <v>82760.8514615051</v>
      </c>
      <c r="Y92" s="470"/>
      <c r="Z92" s="929">
        <f t="shared" si="110"/>
        <v>82760.8514615051</v>
      </c>
      <c r="AA92" s="806">
        <v>56938.0689066667</v>
      </c>
      <c r="AB92" s="806">
        <f t="shared" si="111"/>
        <v>25822.7825548384</v>
      </c>
      <c r="AC92" s="479"/>
      <c r="AD92" s="479"/>
      <c r="AE92" s="479"/>
    </row>
    <row r="93" ht="15.5" spans="1:31">
      <c r="A93" s="464"/>
      <c r="B93" s="643" t="s">
        <v>234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237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556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240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242</v>
      </c>
      <c r="C98" s="467">
        <v>742085.645</v>
      </c>
      <c r="D98" s="466">
        <v>12</v>
      </c>
      <c r="E98" s="467">
        <f t="shared" si="112"/>
        <v>8905027.74</v>
      </c>
      <c r="F98" s="467">
        <v>101319.25</v>
      </c>
      <c r="G98" s="468">
        <v>519697.279999999</v>
      </c>
      <c r="H98" s="470"/>
      <c r="I98" s="467">
        <f t="shared" si="113"/>
        <v>8284011.21</v>
      </c>
      <c r="J98" s="467">
        <v>200000</v>
      </c>
      <c r="K98" s="467">
        <v>0.2</v>
      </c>
      <c r="L98" s="467">
        <f t="shared" si="114"/>
        <v>1656802.242</v>
      </c>
      <c r="M98" s="467">
        <f t="shared" si="115"/>
        <v>1856802.242</v>
      </c>
      <c r="N98" s="467">
        <f t="shared" si="116"/>
        <v>2477818.772</v>
      </c>
      <c r="O98" s="467">
        <f t="shared" si="117"/>
        <v>6427208.968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774530.15232</v>
      </c>
      <c r="V98" s="467">
        <f t="shared" si="124"/>
        <v>1334530.15232</v>
      </c>
      <c r="W98" s="474">
        <v>12</v>
      </c>
      <c r="X98" s="467">
        <f t="shared" si="125"/>
        <v>111210.846026667</v>
      </c>
      <c r="Y98" s="470"/>
      <c r="Z98" s="929">
        <f t="shared" si="126"/>
        <v>111210.846026667</v>
      </c>
      <c r="AA98" s="806">
        <v>87575.7827034667</v>
      </c>
      <c r="AB98" s="806">
        <f t="shared" si="127"/>
        <v>23635.0633232</v>
      </c>
      <c r="AC98" s="479"/>
      <c r="AD98" s="479"/>
      <c r="AE98" s="479"/>
    </row>
    <row r="99" ht="15.5" spans="1:31">
      <c r="A99" s="464">
        <v>88</v>
      </c>
      <c r="B99" s="643" t="s">
        <v>244</v>
      </c>
      <c r="C99" s="467">
        <v>742085.645</v>
      </c>
      <c r="D99" s="466">
        <v>12</v>
      </c>
      <c r="E99" s="467">
        <f t="shared" si="112"/>
        <v>8905027.74</v>
      </c>
      <c r="F99" s="467"/>
      <c r="G99" s="468">
        <v>519697.279999999</v>
      </c>
      <c r="H99" s="470"/>
      <c r="I99" s="467">
        <f t="shared" si="113"/>
        <v>8385330.46</v>
      </c>
      <c r="J99" s="467">
        <v>200000</v>
      </c>
      <c r="K99" s="467">
        <v>0.2</v>
      </c>
      <c r="L99" s="467">
        <f t="shared" si="114"/>
        <v>1677066.092</v>
      </c>
      <c r="M99" s="467">
        <f t="shared" si="115"/>
        <v>1877066.092</v>
      </c>
      <c r="N99" s="467">
        <f t="shared" si="116"/>
        <v>2396763.372</v>
      </c>
      <c r="O99" s="467">
        <f t="shared" si="117"/>
        <v>6508264.368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793983.44832</v>
      </c>
      <c r="V99" s="467">
        <f t="shared" si="124"/>
        <v>1353983.44832</v>
      </c>
      <c r="W99" s="474">
        <v>12</v>
      </c>
      <c r="X99" s="467">
        <f t="shared" si="125"/>
        <v>112831.954026667</v>
      </c>
      <c r="Y99" s="470"/>
      <c r="Z99" s="929">
        <f t="shared" si="126"/>
        <v>112831.954026667</v>
      </c>
      <c r="AA99" s="806">
        <v>87392.5495444267</v>
      </c>
      <c r="AB99" s="806">
        <f t="shared" si="127"/>
        <v>25439.40448224</v>
      </c>
      <c r="AC99" s="479"/>
      <c r="AD99" s="479"/>
      <c r="AE99" s="479"/>
    </row>
    <row r="100" ht="15.5" spans="1:31">
      <c r="A100" s="464">
        <v>89</v>
      </c>
      <c r="B100" s="643" t="s">
        <v>247</v>
      </c>
      <c r="C100" s="467">
        <v>466244.9625</v>
      </c>
      <c r="D100" s="466">
        <v>12</v>
      </c>
      <c r="E100" s="467">
        <f t="shared" si="112"/>
        <v>5594939.55</v>
      </c>
      <c r="F100" s="467"/>
      <c r="G100" s="468">
        <v>316752.400000001</v>
      </c>
      <c r="H100" s="470"/>
      <c r="I100" s="467">
        <f t="shared" si="113"/>
        <v>5278187.15</v>
      </c>
      <c r="J100" s="467">
        <v>200000</v>
      </c>
      <c r="K100" s="467">
        <v>0.2</v>
      </c>
      <c r="L100" s="467">
        <f t="shared" si="114"/>
        <v>1055637.43</v>
      </c>
      <c r="M100" s="467">
        <f t="shared" si="115"/>
        <v>1255637.43</v>
      </c>
      <c r="N100" s="467">
        <f t="shared" si="116"/>
        <v>1572389.83</v>
      </c>
      <c r="O100" s="467">
        <f t="shared" si="117"/>
        <v>4022549.72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197411.9328</v>
      </c>
      <c r="V100" s="467">
        <f t="shared" si="124"/>
        <v>757411.9328</v>
      </c>
      <c r="W100" s="474">
        <v>12</v>
      </c>
      <c r="X100" s="467">
        <f t="shared" si="125"/>
        <v>63117.6610666667</v>
      </c>
      <c r="Y100" s="470"/>
      <c r="Z100" s="929">
        <f t="shared" si="126"/>
        <v>63117.6610666667</v>
      </c>
      <c r="AA100" s="806">
        <v>46740.2649028267</v>
      </c>
      <c r="AB100" s="806">
        <f t="shared" si="127"/>
        <v>16377.39616384</v>
      </c>
      <c r="AC100" s="479"/>
      <c r="AD100" s="479"/>
      <c r="AE100" s="479"/>
    </row>
    <row r="101" ht="31" spans="1:31">
      <c r="A101" s="464"/>
      <c r="B101" s="351" t="s">
        <v>250</v>
      </c>
      <c r="C101" s="467">
        <v>466751.8625</v>
      </c>
      <c r="D101" s="466">
        <v>12</v>
      </c>
      <c r="E101" s="467">
        <f t="shared" si="112"/>
        <v>5601022.35</v>
      </c>
      <c r="F101" s="467"/>
      <c r="G101" s="468">
        <v>317190.799999999</v>
      </c>
      <c r="H101" s="470"/>
      <c r="I101" s="467">
        <f t="shared" si="113"/>
        <v>5283831.55</v>
      </c>
      <c r="J101" s="467">
        <v>200000</v>
      </c>
      <c r="K101" s="467">
        <v>0.2</v>
      </c>
      <c r="L101" s="467">
        <f t="shared" si="114"/>
        <v>1056766.31</v>
      </c>
      <c r="M101" s="467">
        <f t="shared" si="115"/>
        <v>1256766.31</v>
      </c>
      <c r="N101" s="467">
        <f t="shared" si="116"/>
        <v>1573957.11</v>
      </c>
      <c r="O101" s="467">
        <f t="shared" si="117"/>
        <v>4027065.24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198495.6576</v>
      </c>
      <c r="V101" s="467">
        <f t="shared" si="124"/>
        <v>758495.6576</v>
      </c>
      <c r="W101" s="474">
        <v>12</v>
      </c>
      <c r="X101" s="467">
        <f t="shared" si="125"/>
        <v>63207.9714666667</v>
      </c>
      <c r="Y101" s="470"/>
      <c r="Z101" s="929">
        <f t="shared" si="126"/>
        <v>63207.9714666667</v>
      </c>
      <c r="AA101" s="806">
        <v>87883.38</v>
      </c>
      <c r="AB101" s="806">
        <f t="shared" si="127"/>
        <v>-24675.4085333333</v>
      </c>
      <c r="AC101" s="479"/>
      <c r="AD101" s="479"/>
      <c r="AE101" s="479"/>
    </row>
    <row r="102" ht="15.5" spans="1:31">
      <c r="A102" s="464"/>
      <c r="B102" s="351" t="s">
        <v>251</v>
      </c>
      <c r="C102" s="467">
        <v>442901.94</v>
      </c>
      <c r="D102" s="466">
        <v>12</v>
      </c>
      <c r="E102" s="467">
        <f t="shared" si="112"/>
        <v>5314823.28</v>
      </c>
      <c r="G102" s="468">
        <v>296563.840000001</v>
      </c>
      <c r="H102" s="470"/>
      <c r="I102" s="467">
        <f t="shared" si="113"/>
        <v>5018259.44</v>
      </c>
      <c r="J102" s="467">
        <v>200000</v>
      </c>
      <c r="K102" s="467">
        <v>0.2</v>
      </c>
      <c r="L102" s="467">
        <f t="shared" si="114"/>
        <v>1003651.888</v>
      </c>
      <c r="M102" s="467">
        <f t="shared" si="115"/>
        <v>1203651.888</v>
      </c>
      <c r="N102" s="467">
        <f t="shared" si="116"/>
        <v>1500215.728</v>
      </c>
      <c r="O102" s="467">
        <f t="shared" si="117"/>
        <v>3814607.552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147505.81248</v>
      </c>
      <c r="V102" s="467">
        <f t="shared" si="124"/>
        <v>707505.81248</v>
      </c>
      <c r="W102" s="474">
        <v>12</v>
      </c>
      <c r="X102" s="467">
        <f t="shared" si="125"/>
        <v>58958.8177066667</v>
      </c>
      <c r="Y102" s="470"/>
      <c r="Z102" s="929">
        <f t="shared" si="126"/>
        <v>58958.8177066667</v>
      </c>
      <c r="AA102" s="806">
        <v>43740.2565414267</v>
      </c>
      <c r="AB102" s="806">
        <f t="shared" si="127"/>
        <v>15218.56116524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255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257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260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190</v>
      </c>
      <c r="C107" s="473">
        <v>981346.583333334</v>
      </c>
      <c r="D107" s="466">
        <v>12</v>
      </c>
      <c r="E107" s="467">
        <f t="shared" si="129"/>
        <v>11776159</v>
      </c>
      <c r="F107" s="467">
        <v>90896.2250000001</v>
      </c>
      <c r="G107" s="468">
        <v>463532.72</v>
      </c>
      <c r="H107" s="470"/>
      <c r="I107" s="467">
        <f t="shared" si="130"/>
        <v>11221730.055</v>
      </c>
      <c r="J107" s="467">
        <v>200000</v>
      </c>
      <c r="K107" s="467">
        <v>0.2</v>
      </c>
      <c r="L107" s="467">
        <f t="shared" si="131"/>
        <v>2244346.011</v>
      </c>
      <c r="M107" s="467">
        <f t="shared" si="132"/>
        <v>2444346.011</v>
      </c>
      <c r="N107" s="467">
        <f t="shared" si="133"/>
        <v>2998774.956</v>
      </c>
      <c r="O107" s="467">
        <f t="shared" si="134"/>
        <v>8777384.04400001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1338572.17056</v>
      </c>
      <c r="V107" s="467">
        <f t="shared" si="141"/>
        <v>1898572.17056</v>
      </c>
      <c r="W107" s="474">
        <v>12</v>
      </c>
      <c r="X107" s="467">
        <f t="shared" si="142"/>
        <v>158214.347546667</v>
      </c>
      <c r="Y107" s="470"/>
      <c r="Z107" s="929">
        <f t="shared" si="143"/>
        <v>158214.347546667</v>
      </c>
      <c r="AA107" s="806">
        <v>59711.1152554667</v>
      </c>
      <c r="AB107" s="806">
        <f t="shared" si="144"/>
        <v>98503.2322912001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618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272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277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279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280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282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284</v>
      </c>
      <c r="C117" s="467">
        <v>1099008.91666667</v>
      </c>
      <c r="D117" s="466">
        <v>12</v>
      </c>
      <c r="E117" s="467">
        <f t="shared" si="145"/>
        <v>13188107</v>
      </c>
      <c r="F117" s="467">
        <v>157015.95</v>
      </c>
      <c r="G117" s="468">
        <v>818602.639999999</v>
      </c>
      <c r="H117" s="470"/>
      <c r="I117" s="467">
        <f t="shared" si="146"/>
        <v>12212488.41</v>
      </c>
      <c r="J117" s="467">
        <v>200000</v>
      </c>
      <c r="K117" s="467">
        <v>0.2</v>
      </c>
      <c r="L117" s="467">
        <f t="shared" si="147"/>
        <v>2442497.68200001</v>
      </c>
      <c r="M117" s="467">
        <f t="shared" si="148"/>
        <v>2642497.68200001</v>
      </c>
      <c r="N117" s="467">
        <f t="shared" si="149"/>
        <v>3618116.27200001</v>
      </c>
      <c r="O117" s="467">
        <f t="shared" si="150"/>
        <v>9569990.72800003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1528797.77472001</v>
      </c>
      <c r="V117" s="467">
        <f t="shared" si="156"/>
        <v>2088797.77472001</v>
      </c>
      <c r="W117" s="474">
        <v>12</v>
      </c>
      <c r="X117" s="467">
        <f t="shared" si="157"/>
        <v>174066.481226667</v>
      </c>
      <c r="Y117" s="470"/>
      <c r="Z117" s="929">
        <f t="shared" si="158"/>
        <v>174066.481226667</v>
      </c>
      <c r="AA117" s="806">
        <v>145172.65</v>
      </c>
      <c r="AB117" s="806">
        <f t="shared" si="159"/>
        <v>28893.8312266673</v>
      </c>
      <c r="AC117" s="479"/>
      <c r="AD117" s="479"/>
      <c r="AE117" s="479"/>
    </row>
    <row r="118" ht="15.5" spans="1:31">
      <c r="A118" s="464"/>
      <c r="B118" s="643" t="s">
        <v>287</v>
      </c>
      <c r="C118" s="467">
        <v>780713.916666666</v>
      </c>
      <c r="D118" s="466">
        <v>12</v>
      </c>
      <c r="E118" s="467">
        <f t="shared" si="145"/>
        <v>9368566.99999999</v>
      </c>
      <c r="F118" s="467"/>
      <c r="G118" s="468">
        <v>566070.72</v>
      </c>
      <c r="H118" s="470"/>
      <c r="I118" s="467">
        <f t="shared" si="146"/>
        <v>8802496.27999999</v>
      </c>
      <c r="J118" s="467">
        <v>200000</v>
      </c>
      <c r="K118" s="467">
        <v>0.2</v>
      </c>
      <c r="L118" s="467">
        <f t="shared" si="147"/>
        <v>1760499.256</v>
      </c>
      <c r="M118" s="467">
        <f t="shared" si="148"/>
        <v>1960499.256</v>
      </c>
      <c r="N118" s="467">
        <f t="shared" si="149"/>
        <v>2526569.976</v>
      </c>
      <c r="O118" s="467">
        <f t="shared" si="150"/>
        <v>6841997.02399999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874079.285759999</v>
      </c>
      <c r="V118" s="467">
        <f t="shared" si="156"/>
        <v>1434079.28576</v>
      </c>
      <c r="W118" s="474">
        <v>12</v>
      </c>
      <c r="X118" s="467">
        <f t="shared" si="157"/>
        <v>119506.607146667</v>
      </c>
      <c r="Y118" s="470"/>
      <c r="Z118" s="929">
        <f t="shared" si="158"/>
        <v>119506.607146667</v>
      </c>
      <c r="AA118" s="806">
        <v>75215.4333866667</v>
      </c>
      <c r="AB118" s="806">
        <f t="shared" si="159"/>
        <v>44291.1737599999</v>
      </c>
      <c r="AC118" s="479"/>
      <c r="AD118" s="479"/>
      <c r="AE118" s="479"/>
    </row>
    <row r="119" ht="15.5" spans="1:31">
      <c r="A119" s="464">
        <v>101</v>
      </c>
      <c r="B119" s="643" t="s">
        <v>288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290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293</v>
      </c>
      <c r="C121" s="467">
        <v>432145.333333333</v>
      </c>
      <c r="D121" s="466">
        <v>12</v>
      </c>
      <c r="E121" s="467">
        <f t="shared" si="145"/>
        <v>5185744</v>
      </c>
      <c r="F121" s="473"/>
      <c r="G121" s="468">
        <v>341107.840000001</v>
      </c>
      <c r="H121" s="470"/>
      <c r="I121" s="467">
        <f t="shared" si="146"/>
        <v>4844636.16</v>
      </c>
      <c r="J121" s="467">
        <v>200000</v>
      </c>
      <c r="K121" s="467">
        <v>0.2</v>
      </c>
      <c r="L121" s="467">
        <f t="shared" si="147"/>
        <v>968927.231999999</v>
      </c>
      <c r="M121" s="467">
        <f t="shared" si="148"/>
        <v>1168927.232</v>
      </c>
      <c r="N121" s="467">
        <f t="shared" si="149"/>
        <v>1510035.072</v>
      </c>
      <c r="O121" s="467">
        <f t="shared" si="150"/>
        <v>3675708.928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114170.142719999</v>
      </c>
      <c r="V121" s="467">
        <f t="shared" si="156"/>
        <v>674170.142719999</v>
      </c>
      <c r="W121" s="474">
        <v>12</v>
      </c>
      <c r="X121" s="467">
        <f t="shared" si="157"/>
        <v>56180.8452266666</v>
      </c>
      <c r="Y121" s="470"/>
      <c r="Z121" s="929">
        <f t="shared" si="158"/>
        <v>56180.8452266666</v>
      </c>
      <c r="AA121" s="806">
        <v>39052.3130666667</v>
      </c>
      <c r="AB121" s="806">
        <f t="shared" si="159"/>
        <v>17128.5321599999</v>
      </c>
      <c r="AC121" s="479"/>
      <c r="AD121" s="479"/>
      <c r="AE121" s="479"/>
    </row>
    <row r="122" ht="15.5" spans="1:31">
      <c r="A122" s="464">
        <v>106</v>
      </c>
      <c r="B122" s="351" t="s">
        <v>295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297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298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120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300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301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304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306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308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310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313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314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316</v>
      </c>
      <c r="C135" s="467">
        <v>571571.849462365</v>
      </c>
      <c r="D135" s="466">
        <v>12</v>
      </c>
      <c r="E135" s="467">
        <f t="shared" si="161"/>
        <v>6858862.19354838</v>
      </c>
      <c r="F135" s="467"/>
      <c r="G135" s="468">
        <v>463356.160000001</v>
      </c>
      <c r="H135" s="470"/>
      <c r="I135" s="467">
        <f t="shared" si="162"/>
        <v>6395506.03354838</v>
      </c>
      <c r="J135" s="467">
        <v>200000</v>
      </c>
      <c r="K135" s="467">
        <v>0.2</v>
      </c>
      <c r="L135" s="467">
        <f t="shared" si="163"/>
        <v>1279101.20670968</v>
      </c>
      <c r="M135" s="467">
        <f t="shared" si="164"/>
        <v>1479101.20670968</v>
      </c>
      <c r="N135" s="467">
        <f t="shared" si="165"/>
        <v>1942457.36670968</v>
      </c>
      <c r="O135" s="467">
        <f t="shared" si="166"/>
        <v>4916404.8268387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411937.158441289</v>
      </c>
      <c r="V135" s="467">
        <f t="shared" si="173"/>
        <v>971937.158441289</v>
      </c>
      <c r="W135" s="474">
        <v>12</v>
      </c>
      <c r="X135" s="467">
        <f t="shared" si="174"/>
        <v>80994.7632034407</v>
      </c>
      <c r="Y135" s="470"/>
      <c r="Z135" s="929">
        <f t="shared" si="175"/>
        <v>80994.7632034407</v>
      </c>
      <c r="AA135" s="806">
        <v>56938.0689066667</v>
      </c>
      <c r="AB135" s="806">
        <f t="shared" si="176"/>
        <v>24056.694296774</v>
      </c>
      <c r="AC135" s="479"/>
      <c r="AD135" s="479"/>
      <c r="AE135" s="479"/>
    </row>
    <row r="136" ht="15.5" spans="1:31">
      <c r="A136" s="464">
        <v>120</v>
      </c>
      <c r="B136" s="643" t="s">
        <v>318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320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322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323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325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326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328</v>
      </c>
      <c r="C142" s="467">
        <v>417905.470777777</v>
      </c>
      <c r="D142" s="466">
        <v>12</v>
      </c>
      <c r="E142" s="467">
        <f t="shared" si="161"/>
        <v>5014865.64933332</v>
      </c>
      <c r="F142" s="467"/>
      <c r="G142" s="468">
        <v>333135.52</v>
      </c>
      <c r="H142" s="470"/>
      <c r="I142" s="467">
        <f t="shared" si="162"/>
        <v>4681730.12933332</v>
      </c>
      <c r="J142" s="467">
        <v>200000</v>
      </c>
      <c r="K142" s="467">
        <v>0.2</v>
      </c>
      <c r="L142" s="467">
        <f t="shared" si="163"/>
        <v>936346.025866665</v>
      </c>
      <c r="M142" s="467">
        <f t="shared" si="164"/>
        <v>1136346.02586666</v>
      </c>
      <c r="N142" s="467">
        <f t="shared" si="165"/>
        <v>1469481.54586666</v>
      </c>
      <c r="O142" s="467">
        <f t="shared" si="166"/>
        <v>3545384.10346666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82892.1848319982</v>
      </c>
      <c r="V142" s="467">
        <f t="shared" si="173"/>
        <v>642892.184831998</v>
      </c>
      <c r="W142" s="474">
        <v>12</v>
      </c>
      <c r="X142" s="467">
        <f t="shared" si="174"/>
        <v>53574.3487359998</v>
      </c>
      <c r="Y142" s="470"/>
      <c r="Z142" s="929">
        <f t="shared" si="175"/>
        <v>53574.3487359998</v>
      </c>
      <c r="AA142" s="806">
        <v>37921.5005866667</v>
      </c>
      <c r="AB142" s="806">
        <f t="shared" si="176"/>
        <v>15652.8481493331</v>
      </c>
      <c r="AC142" s="479"/>
      <c r="AD142" s="479"/>
      <c r="AE142" s="479"/>
    </row>
    <row r="143" ht="15.5" spans="1:31">
      <c r="A143" s="464">
        <v>127</v>
      </c>
      <c r="B143" s="643" t="s">
        <v>330</v>
      </c>
      <c r="C143" s="467">
        <v>627242.499999999</v>
      </c>
      <c r="D143" s="466">
        <v>12</v>
      </c>
      <c r="E143" s="467">
        <f t="shared" si="161"/>
        <v>7526909.99999999</v>
      </c>
      <c r="F143" s="467"/>
      <c r="G143" s="468">
        <v>438302.16</v>
      </c>
      <c r="H143" s="470"/>
      <c r="I143" s="467">
        <f t="shared" si="162"/>
        <v>7088607.83999999</v>
      </c>
      <c r="J143" s="467">
        <v>200000</v>
      </c>
      <c r="K143" s="467">
        <v>0.2</v>
      </c>
      <c r="L143" s="467">
        <f t="shared" si="163"/>
        <v>1417721.568</v>
      </c>
      <c r="M143" s="467">
        <f t="shared" si="164"/>
        <v>1617721.568</v>
      </c>
      <c r="N143" s="467">
        <f t="shared" si="165"/>
        <v>2056023.728</v>
      </c>
      <c r="O143" s="467">
        <f t="shared" si="166"/>
        <v>5470886.27199999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545012.705279998</v>
      </c>
      <c r="V143" s="467">
        <f t="shared" si="173"/>
        <v>1105012.70528</v>
      </c>
      <c r="W143" s="474">
        <v>12</v>
      </c>
      <c r="X143" s="467">
        <f t="shared" si="174"/>
        <v>92084.3921066665</v>
      </c>
      <c r="Y143" s="470"/>
      <c r="Z143" s="929">
        <f t="shared" si="175"/>
        <v>92084.3921066665</v>
      </c>
      <c r="AA143" s="806">
        <v>44990.4825066667</v>
      </c>
      <c r="AB143" s="806">
        <f t="shared" si="176"/>
        <v>47093.9095999998</v>
      </c>
      <c r="AC143" s="479"/>
      <c r="AD143" s="479"/>
      <c r="AE143" s="479"/>
    </row>
    <row r="144" ht="15.5" spans="1:31">
      <c r="A144" s="464">
        <v>128</v>
      </c>
      <c r="B144" s="643" t="s">
        <v>332</v>
      </c>
      <c r="C144" s="467">
        <v>481533.87096774</v>
      </c>
      <c r="D144" s="466">
        <v>12</v>
      </c>
      <c r="E144" s="467">
        <f t="shared" si="161"/>
        <v>5778406.45161288</v>
      </c>
      <c r="F144" s="467"/>
      <c r="G144" s="468">
        <v>341107.840000001</v>
      </c>
      <c r="H144" s="470"/>
      <c r="I144" s="467">
        <f t="shared" si="162"/>
        <v>5437298.61161288</v>
      </c>
      <c r="J144" s="467">
        <v>200000</v>
      </c>
      <c r="K144" s="467">
        <v>0.2</v>
      </c>
      <c r="L144" s="467">
        <f t="shared" si="163"/>
        <v>1087459.72232258</v>
      </c>
      <c r="M144" s="467">
        <f t="shared" si="164"/>
        <v>1287459.72232258</v>
      </c>
      <c r="N144" s="467">
        <f t="shared" si="165"/>
        <v>1628567.56232258</v>
      </c>
      <c r="O144" s="467">
        <f t="shared" si="166"/>
        <v>4149838.8892903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227961.333429673</v>
      </c>
      <c r="V144" s="467">
        <f t="shared" si="173"/>
        <v>787961.333429673</v>
      </c>
      <c r="W144" s="474">
        <v>12</v>
      </c>
      <c r="X144" s="467">
        <f t="shared" si="174"/>
        <v>65663.4444524727</v>
      </c>
      <c r="Y144" s="470"/>
      <c r="Z144" s="929">
        <f t="shared" si="175"/>
        <v>65663.4444524727</v>
      </c>
      <c r="AA144" s="806">
        <v>39052.3130666667</v>
      </c>
      <c r="AB144" s="806">
        <f t="shared" si="176"/>
        <v>26611.131385806</v>
      </c>
      <c r="AC144" s="479"/>
      <c r="AD144" s="479"/>
      <c r="AE144" s="479"/>
    </row>
    <row r="145" ht="15.5" spans="1:31">
      <c r="A145" s="464">
        <v>129</v>
      </c>
      <c r="B145" s="643" t="s">
        <v>334</v>
      </c>
      <c r="C145" s="467">
        <v>615675.129032258</v>
      </c>
      <c r="D145" s="466">
        <v>12</v>
      </c>
      <c r="E145" s="467">
        <f t="shared" si="161"/>
        <v>7388101.5483871</v>
      </c>
      <c r="F145" s="467">
        <v>92670.45</v>
      </c>
      <c r="G145" s="468">
        <v>438302.16</v>
      </c>
      <c r="H145" s="470"/>
      <c r="I145" s="467">
        <f t="shared" si="162"/>
        <v>6857128.9383871</v>
      </c>
      <c r="J145" s="467">
        <v>200000</v>
      </c>
      <c r="K145" s="467">
        <v>0.2</v>
      </c>
      <c r="L145" s="467">
        <f t="shared" si="163"/>
        <v>1371425.78767742</v>
      </c>
      <c r="M145" s="467">
        <f t="shared" si="164"/>
        <v>1571425.78767742</v>
      </c>
      <c r="N145" s="467">
        <f t="shared" si="165"/>
        <v>2102398.39767742</v>
      </c>
      <c r="O145" s="467">
        <f t="shared" si="166"/>
        <v>5285703.15070968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500568.756170323</v>
      </c>
      <c r="V145" s="467">
        <f t="shared" si="173"/>
        <v>1060568.75617032</v>
      </c>
      <c r="W145" s="474">
        <v>12</v>
      </c>
      <c r="X145" s="467">
        <f t="shared" si="174"/>
        <v>88380.7296808602</v>
      </c>
      <c r="Y145" s="470"/>
      <c r="Z145" s="929">
        <f t="shared" si="175"/>
        <v>88380.7296808602</v>
      </c>
      <c r="AA145" s="806">
        <v>44913.6996186667</v>
      </c>
      <c r="AB145" s="806">
        <f t="shared" si="176"/>
        <v>43467.0300621935</v>
      </c>
      <c r="AC145" s="479"/>
      <c r="AD145" s="479"/>
      <c r="AE145" s="479"/>
    </row>
    <row r="146" ht="15.5" spans="1:31">
      <c r="A146" s="464">
        <v>130</v>
      </c>
      <c r="B146" s="643" t="s">
        <v>335</v>
      </c>
      <c r="C146" s="467">
        <v>461452.8172043</v>
      </c>
      <c r="D146" s="466">
        <v>12</v>
      </c>
      <c r="E146" s="467">
        <f t="shared" si="161"/>
        <v>5537433.8064516</v>
      </c>
      <c r="F146" s="467"/>
      <c r="G146" s="468">
        <v>341107.840000001</v>
      </c>
      <c r="H146" s="470"/>
      <c r="I146" s="467">
        <f t="shared" si="162"/>
        <v>5196325.9664516</v>
      </c>
      <c r="J146" s="467">
        <v>200000</v>
      </c>
      <c r="K146" s="467">
        <v>0.2</v>
      </c>
      <c r="L146" s="467">
        <f t="shared" si="163"/>
        <v>1039265.19329032</v>
      </c>
      <c r="M146" s="467">
        <f t="shared" si="164"/>
        <v>1239265.19329032</v>
      </c>
      <c r="N146" s="467">
        <f t="shared" si="165"/>
        <v>1580373.03329032</v>
      </c>
      <c r="O146" s="467">
        <f t="shared" si="166"/>
        <v>3957060.77316128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181694.585558707</v>
      </c>
      <c r="V146" s="467">
        <f t="shared" si="173"/>
        <v>741694.585558707</v>
      </c>
      <c r="W146" s="474">
        <v>12</v>
      </c>
      <c r="X146" s="467">
        <f t="shared" si="174"/>
        <v>61807.8821298922</v>
      </c>
      <c r="Y146" s="470"/>
      <c r="Z146" s="929">
        <f t="shared" si="175"/>
        <v>61807.8821298922</v>
      </c>
      <c r="AA146" s="806">
        <v>39052.3130666667</v>
      </c>
      <c r="AB146" s="806">
        <f t="shared" si="176"/>
        <v>22755.5690632255</v>
      </c>
      <c r="AC146" s="479"/>
      <c r="AD146" s="479"/>
      <c r="AE146" s="479"/>
    </row>
    <row r="147" ht="15.5" spans="1:31">
      <c r="A147" s="464">
        <v>131</v>
      </c>
      <c r="B147" s="351" t="s">
        <v>337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339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345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347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349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351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352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353</v>
      </c>
      <c r="C154" s="467">
        <v>360647.920777778</v>
      </c>
      <c r="D154" s="466">
        <v>12</v>
      </c>
      <c r="E154" s="467">
        <f t="shared" si="161"/>
        <v>4327775.04933334</v>
      </c>
      <c r="F154" s="467"/>
      <c r="G154" s="468">
        <v>283104.8</v>
      </c>
      <c r="H154" s="470"/>
      <c r="I154" s="467">
        <f t="shared" si="162"/>
        <v>4044670.24933334</v>
      </c>
      <c r="J154" s="467">
        <v>200000</v>
      </c>
      <c r="K154" s="467">
        <v>0.2</v>
      </c>
      <c r="L154" s="467">
        <f t="shared" si="163"/>
        <v>808934.049866667</v>
      </c>
      <c r="M154" s="467">
        <f t="shared" si="164"/>
        <v>1008934.04986667</v>
      </c>
      <c r="N154" s="467">
        <f t="shared" si="165"/>
        <v>1292038.84986667</v>
      </c>
      <c r="O154" s="467">
        <f t="shared" si="166"/>
        <v>3035736.19946667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301504.601888</v>
      </c>
      <c r="U154" s="467"/>
      <c r="V154" s="467">
        <f t="shared" si="173"/>
        <v>525504.601888</v>
      </c>
      <c r="W154" s="474">
        <v>12</v>
      </c>
      <c r="X154" s="467">
        <f t="shared" si="174"/>
        <v>43792.0501573334</v>
      </c>
      <c r="Y154" s="470"/>
      <c r="Z154" s="929">
        <f t="shared" si="175"/>
        <v>43792.0501573334</v>
      </c>
      <c r="AA154" s="806">
        <v>29305.1955466666</v>
      </c>
      <c r="AB154" s="806">
        <f t="shared" si="176"/>
        <v>14486.8546106668</v>
      </c>
      <c r="AC154" s="479"/>
      <c r="AD154" s="479"/>
      <c r="AE154" s="479"/>
    </row>
    <row r="155" ht="15.5" spans="1:31">
      <c r="A155" s="464">
        <v>139</v>
      </c>
      <c r="B155" s="351" t="s">
        <v>355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361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364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570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365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366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367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369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370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371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372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359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373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376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377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379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382</v>
      </c>
      <c r="C171" s="467">
        <v>240784</v>
      </c>
      <c r="D171" s="466">
        <v>12</v>
      </c>
      <c r="E171" s="467">
        <f t="shared" si="161"/>
        <v>2889408</v>
      </c>
      <c r="F171" s="467"/>
      <c r="G171" s="468">
        <v>205232.64</v>
      </c>
      <c r="H171" s="470"/>
      <c r="I171" s="467">
        <f t="shared" si="162"/>
        <v>2684175.36</v>
      </c>
      <c r="J171" s="467">
        <v>200000</v>
      </c>
      <c r="K171" s="467">
        <v>0.2</v>
      </c>
      <c r="L171" s="467">
        <f t="shared" si="163"/>
        <v>536835.072</v>
      </c>
      <c r="M171" s="467">
        <f t="shared" si="164"/>
        <v>736835.072</v>
      </c>
      <c r="N171" s="467">
        <f t="shared" si="165"/>
        <v>942067.712</v>
      </c>
      <c r="O171" s="467">
        <f t="shared" si="166"/>
        <v>1947340.288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95000</v>
      </c>
      <c r="T171" s="467">
        <f t="shared" si="171"/>
        <v>72941.46048</v>
      </c>
      <c r="U171" s="467"/>
      <c r="V171" s="467">
        <f t="shared" si="173"/>
        <v>296941.46048</v>
      </c>
      <c r="W171" s="474">
        <v>12</v>
      </c>
      <c r="X171" s="467">
        <f t="shared" si="174"/>
        <v>24745.1217066667</v>
      </c>
      <c r="Y171" s="470"/>
      <c r="Z171" s="929">
        <f t="shared" si="175"/>
        <v>24745.1217066667</v>
      </c>
      <c r="AA171" s="806">
        <v>7852.4192</v>
      </c>
      <c r="AB171" s="806">
        <f t="shared" si="176"/>
        <v>16892.7025066667</v>
      </c>
      <c r="AC171" s="479"/>
      <c r="AD171" s="479"/>
      <c r="AE171" s="479"/>
    </row>
    <row r="172" ht="15.5" spans="1:31">
      <c r="A172" s="464">
        <v>156</v>
      </c>
      <c r="B172" s="643" t="s">
        <v>383</v>
      </c>
      <c r="C172" s="467">
        <v>363463.725806452</v>
      </c>
      <c r="D172" s="466">
        <v>12</v>
      </c>
      <c r="E172" s="467">
        <f t="shared" si="161"/>
        <v>4361564.70967742</v>
      </c>
      <c r="F172" s="467"/>
      <c r="G172" s="468">
        <v>205232.64</v>
      </c>
      <c r="H172" s="470"/>
      <c r="I172" s="467">
        <f t="shared" si="162"/>
        <v>4156332.06967742</v>
      </c>
      <c r="J172" s="467">
        <v>200000</v>
      </c>
      <c r="K172" s="467">
        <v>0.2</v>
      </c>
      <c r="L172" s="467">
        <f t="shared" si="163"/>
        <v>831266.413935485</v>
      </c>
      <c r="M172" s="467">
        <f t="shared" si="164"/>
        <v>1031266.41393548</v>
      </c>
      <c r="N172" s="467">
        <f t="shared" si="165"/>
        <v>1236499.05393548</v>
      </c>
      <c r="O172" s="467">
        <f t="shared" si="166"/>
        <v>3125065.65574194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95000</v>
      </c>
      <c r="T172" s="467">
        <f t="shared" si="171"/>
        <v>320263.787705807</v>
      </c>
      <c r="U172" s="467"/>
      <c r="V172" s="467">
        <f t="shared" si="173"/>
        <v>544263.787705807</v>
      </c>
      <c r="W172" s="474">
        <v>12</v>
      </c>
      <c r="X172" s="467">
        <f t="shared" si="174"/>
        <v>45355.3156421506</v>
      </c>
      <c r="Y172" s="470"/>
      <c r="Z172" s="929">
        <f t="shared" si="175"/>
        <v>45355.3156421506</v>
      </c>
      <c r="AA172" s="806">
        <v>7492.4192</v>
      </c>
      <c r="AB172" s="806">
        <f t="shared" si="176"/>
        <v>37862.8964421506</v>
      </c>
      <c r="AC172" s="479"/>
      <c r="AD172" s="479"/>
      <c r="AE172" s="479"/>
    </row>
    <row r="173" ht="15.5" spans="1:31">
      <c r="A173" s="464">
        <v>157</v>
      </c>
      <c r="B173" s="643" t="s">
        <v>384</v>
      </c>
      <c r="C173" s="467">
        <v>363463.725806452</v>
      </c>
      <c r="D173" s="466">
        <v>12</v>
      </c>
      <c r="E173" s="467">
        <f t="shared" si="161"/>
        <v>4361564.70967742</v>
      </c>
      <c r="F173" s="467"/>
      <c r="G173" s="468">
        <v>205232.64</v>
      </c>
      <c r="H173" s="470"/>
      <c r="I173" s="467">
        <f t="shared" si="162"/>
        <v>4156332.06967742</v>
      </c>
      <c r="J173" s="467">
        <v>200000</v>
      </c>
      <c r="K173" s="467">
        <v>0.2</v>
      </c>
      <c r="L173" s="467">
        <f t="shared" si="163"/>
        <v>831266.413935485</v>
      </c>
      <c r="M173" s="467">
        <f t="shared" si="164"/>
        <v>1031266.41393548</v>
      </c>
      <c r="N173" s="467">
        <f t="shared" si="165"/>
        <v>1236499.05393548</v>
      </c>
      <c r="O173" s="467">
        <f t="shared" si="166"/>
        <v>3125065.65574194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95000</v>
      </c>
      <c r="T173" s="467">
        <f t="shared" si="171"/>
        <v>320263.787705807</v>
      </c>
      <c r="U173" s="467"/>
      <c r="V173" s="467">
        <f t="shared" si="173"/>
        <v>544263.787705807</v>
      </c>
      <c r="W173" s="474">
        <v>12</v>
      </c>
      <c r="X173" s="467">
        <f t="shared" si="174"/>
        <v>45355.3156421506</v>
      </c>
      <c r="Y173" s="470"/>
      <c r="Z173" s="929">
        <f t="shared" si="175"/>
        <v>45355.3156421506</v>
      </c>
      <c r="AA173" s="806">
        <v>7852.4192</v>
      </c>
      <c r="AB173" s="806">
        <f t="shared" si="176"/>
        <v>37502.8964421506</v>
      </c>
      <c r="AC173" s="479"/>
      <c r="AD173" s="479"/>
      <c r="AE173" s="479"/>
    </row>
    <row r="174" ht="15.5" spans="1:31">
      <c r="A174" s="464">
        <v>158</v>
      </c>
      <c r="B174" s="643" t="s">
        <v>385</v>
      </c>
      <c r="C174" s="938">
        <v>363463.725806452</v>
      </c>
      <c r="D174" s="466">
        <v>12</v>
      </c>
      <c r="E174" s="467">
        <f t="shared" si="161"/>
        <v>4361564.70967742</v>
      </c>
      <c r="F174" s="467"/>
      <c r="G174" s="468">
        <v>205232.64</v>
      </c>
      <c r="H174" s="470"/>
      <c r="I174" s="467">
        <f t="shared" si="162"/>
        <v>4156332.06967742</v>
      </c>
      <c r="J174" s="467">
        <v>200000</v>
      </c>
      <c r="K174" s="467">
        <v>0.2</v>
      </c>
      <c r="L174" s="467">
        <f t="shared" si="163"/>
        <v>831266.413935485</v>
      </c>
      <c r="M174" s="467">
        <f t="shared" si="164"/>
        <v>1031266.41393548</v>
      </c>
      <c r="N174" s="467">
        <f t="shared" si="165"/>
        <v>1236499.05393548</v>
      </c>
      <c r="O174" s="467">
        <f t="shared" si="166"/>
        <v>3125065.65574194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95000</v>
      </c>
      <c r="T174" s="467">
        <f t="shared" si="171"/>
        <v>320263.787705807</v>
      </c>
      <c r="U174" s="467"/>
      <c r="V174" s="467">
        <f t="shared" si="173"/>
        <v>544263.787705807</v>
      </c>
      <c r="W174" s="474">
        <v>12</v>
      </c>
      <c r="X174" s="467">
        <f t="shared" si="174"/>
        <v>45355.3156421506</v>
      </c>
      <c r="Y174" s="470"/>
      <c r="Z174" s="929">
        <f t="shared" si="175"/>
        <v>45355.3156421506</v>
      </c>
      <c r="AA174" s="806">
        <v>7492.4192</v>
      </c>
      <c r="AB174" s="806">
        <f t="shared" si="176"/>
        <v>37862.8964421506</v>
      </c>
      <c r="AC174" s="479"/>
      <c r="AD174" s="479"/>
      <c r="AE174" s="479"/>
    </row>
    <row r="175" ht="15.5" spans="1:28">
      <c r="A175" s="464">
        <v>159</v>
      </c>
      <c r="B175" s="643" t="s">
        <v>386</v>
      </c>
      <c r="C175" s="938">
        <v>363463.725806452</v>
      </c>
      <c r="D175" s="466">
        <v>12</v>
      </c>
      <c r="E175" s="467">
        <f t="shared" si="161"/>
        <v>4361564.70967742</v>
      </c>
      <c r="F175" s="467"/>
      <c r="G175" s="468">
        <v>205232.64</v>
      </c>
      <c r="H175" s="470"/>
      <c r="I175" s="467">
        <f t="shared" si="162"/>
        <v>4156332.06967742</v>
      </c>
      <c r="J175" s="467">
        <v>200000</v>
      </c>
      <c r="K175" s="467">
        <v>0.2</v>
      </c>
      <c r="L175" s="467">
        <f t="shared" si="163"/>
        <v>831266.413935485</v>
      </c>
      <c r="M175" s="467">
        <f t="shared" si="164"/>
        <v>1031266.41393548</v>
      </c>
      <c r="N175" s="467">
        <f t="shared" si="165"/>
        <v>1236499.05393548</v>
      </c>
      <c r="O175" s="467">
        <f t="shared" si="166"/>
        <v>3125065.65574194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95000</v>
      </c>
      <c r="T175" s="467">
        <f t="shared" si="171"/>
        <v>320263.787705807</v>
      </c>
      <c r="U175" s="467"/>
      <c r="V175" s="467">
        <f t="shared" si="173"/>
        <v>544263.787705807</v>
      </c>
      <c r="W175" s="474">
        <v>12</v>
      </c>
      <c r="X175" s="467">
        <f t="shared" si="174"/>
        <v>45355.3156421506</v>
      </c>
      <c r="Y175" s="470"/>
      <c r="Z175" s="929">
        <f t="shared" si="175"/>
        <v>45355.3156421506</v>
      </c>
      <c r="AA175" s="806">
        <v>7852.4192</v>
      </c>
      <c r="AB175" s="806">
        <f t="shared" si="176"/>
        <v>37502.8964421506</v>
      </c>
    </row>
    <row r="176" ht="15.5" spans="1:28">
      <c r="A176" s="464">
        <v>160</v>
      </c>
      <c r="B176" s="351" t="s">
        <v>387</v>
      </c>
      <c r="C176" s="806">
        <v>954446.8</v>
      </c>
      <c r="D176" s="466">
        <v>12</v>
      </c>
      <c r="E176" s="467">
        <f t="shared" si="161"/>
        <v>11453361.6</v>
      </c>
      <c r="F176" s="620"/>
      <c r="G176" s="468">
        <v>205232.64</v>
      </c>
      <c r="I176" s="467">
        <f t="shared" si="162"/>
        <v>11248128.96</v>
      </c>
      <c r="J176" s="467">
        <v>200000</v>
      </c>
      <c r="K176" s="467">
        <v>0.2</v>
      </c>
      <c r="L176" s="467">
        <f t="shared" si="163"/>
        <v>2249625.792</v>
      </c>
      <c r="M176" s="467">
        <f t="shared" si="164"/>
        <v>2449625.792</v>
      </c>
      <c r="N176" s="467">
        <f t="shared" si="165"/>
        <v>2654858.432</v>
      </c>
      <c r="O176" s="467">
        <f t="shared" si="166"/>
        <v>8798503.168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95000</v>
      </c>
      <c r="T176" s="467">
        <f t="shared" si="171"/>
        <v>336000</v>
      </c>
      <c r="U176" s="467">
        <f>0.24*(O176-3200000)</f>
        <v>1343640.76032</v>
      </c>
      <c r="V176" s="467">
        <f t="shared" si="173"/>
        <v>1903640.76032</v>
      </c>
      <c r="W176" s="474">
        <v>12</v>
      </c>
      <c r="X176" s="467">
        <f t="shared" si="174"/>
        <v>158636.730026667</v>
      </c>
      <c r="Z176" s="929">
        <f t="shared" si="175"/>
        <v>158636.730026667</v>
      </c>
      <c r="AA176" s="806">
        <v>7492.4192</v>
      </c>
      <c r="AB176" s="806">
        <f t="shared" si="176"/>
        <v>151144.310826667</v>
      </c>
    </row>
    <row r="177" ht="15.5" spans="1:28">
      <c r="A177" s="464">
        <v>161</v>
      </c>
      <c r="B177" s="351" t="s">
        <v>389</v>
      </c>
      <c r="C177" s="806">
        <v>173356.75</v>
      </c>
      <c r="D177" s="466">
        <v>12</v>
      </c>
      <c r="E177" s="467">
        <f t="shared" si="161"/>
        <v>2080281</v>
      </c>
      <c r="F177" s="620"/>
      <c r="G177" s="468">
        <v>205232.64</v>
      </c>
      <c r="I177" s="467">
        <f t="shared" si="162"/>
        <v>1875048.36</v>
      </c>
      <c r="J177" s="467">
        <v>200000</v>
      </c>
      <c r="K177" s="467">
        <v>0.2</v>
      </c>
      <c r="L177" s="467">
        <f t="shared" si="163"/>
        <v>375009.672</v>
      </c>
      <c r="M177" s="467">
        <f t="shared" si="164"/>
        <v>575009.672</v>
      </c>
      <c r="N177" s="467">
        <f t="shared" si="165"/>
        <v>780242.312</v>
      </c>
      <c r="O177" s="467">
        <f t="shared" si="166"/>
        <v>1300038.688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38007.35072</v>
      </c>
      <c r="T177" s="467">
        <f t="shared" si="171"/>
        <v>0</v>
      </c>
      <c r="U177" s="467"/>
      <c r="V177" s="467">
        <f t="shared" si="173"/>
        <v>167007.35072</v>
      </c>
      <c r="W177" s="474">
        <v>12</v>
      </c>
      <c r="X177" s="467">
        <f t="shared" si="174"/>
        <v>13917.2792266667</v>
      </c>
      <c r="Z177" s="929">
        <f t="shared" si="175"/>
        <v>13917.2792266667</v>
      </c>
      <c r="AA177" s="806">
        <v>7852.4192</v>
      </c>
      <c r="AB177" s="806">
        <f t="shared" si="176"/>
        <v>6064.86002666667</v>
      </c>
    </row>
    <row r="178" ht="15.5" spans="1:28">
      <c r="A178" s="464">
        <v>162</v>
      </c>
      <c r="B178" s="643" t="s">
        <v>572</v>
      </c>
      <c r="C178" s="806"/>
      <c r="D178" s="466"/>
      <c r="E178" s="467"/>
      <c r="F178" s="620"/>
      <c r="G178" s="468">
        <v>205232.64</v>
      </c>
      <c r="I178" s="467"/>
      <c r="J178" s="467"/>
      <c r="K178" s="467"/>
      <c r="L178" s="467"/>
      <c r="M178" s="467"/>
      <c r="N178" s="467">
        <f t="shared" si="165"/>
        <v>205232.64</v>
      </c>
      <c r="O178" s="467">
        <f t="shared" si="166"/>
        <v>-205232.64</v>
      </c>
      <c r="P178" s="467">
        <f t="shared" si="167"/>
        <v>-14366.2848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U178" s="467"/>
      <c r="V178" s="467">
        <f t="shared" si="173"/>
        <v>-14366.2848</v>
      </c>
      <c r="W178" s="474">
        <v>12</v>
      </c>
      <c r="X178" s="467">
        <f t="shared" si="174"/>
        <v>-1197.1904</v>
      </c>
      <c r="Z178" s="929">
        <f t="shared" si="175"/>
        <v>-1197.1904</v>
      </c>
      <c r="AA178" s="806"/>
      <c r="AB178" s="806"/>
    </row>
    <row r="179" ht="15.5" spans="1:28">
      <c r="A179" s="464">
        <v>163</v>
      </c>
      <c r="B179" s="643" t="s">
        <v>392</v>
      </c>
      <c r="C179" s="806">
        <v>173356.75</v>
      </c>
      <c r="D179" s="466">
        <v>12</v>
      </c>
      <c r="E179" s="467">
        <f t="shared" ref="E179:E187" si="177">C179*D179</f>
        <v>2080281</v>
      </c>
      <c r="F179" s="620"/>
      <c r="G179" s="468">
        <v>205232.64</v>
      </c>
      <c r="I179" s="467">
        <f t="shared" ref="I179:I187" si="178">E179-F179-G179-H179</f>
        <v>1875048.36</v>
      </c>
      <c r="J179" s="467">
        <v>200000</v>
      </c>
      <c r="K179" s="467">
        <v>0.2</v>
      </c>
      <c r="L179" s="467">
        <f t="shared" ref="L179:L187" si="179">I179*K179</f>
        <v>375009.672</v>
      </c>
      <c r="M179" s="467">
        <f t="shared" ref="M179:M187" si="180">J179+L179</f>
        <v>575009.672</v>
      </c>
      <c r="N179" s="467">
        <f t="shared" si="165"/>
        <v>780242.312</v>
      </c>
      <c r="O179" s="467">
        <f t="shared" si="166"/>
        <v>1300038.688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38007.35072</v>
      </c>
      <c r="T179" s="467">
        <f t="shared" si="171"/>
        <v>0</v>
      </c>
      <c r="V179" s="467">
        <f t="shared" si="173"/>
        <v>167007.35072</v>
      </c>
      <c r="W179" s="474">
        <v>12</v>
      </c>
      <c r="X179" s="467">
        <f t="shared" si="174"/>
        <v>13917.2792266667</v>
      </c>
      <c r="Z179" s="929">
        <f t="shared" si="175"/>
        <v>13917.2792266667</v>
      </c>
      <c r="AA179" s="806">
        <v>7852.4192</v>
      </c>
      <c r="AB179" s="806">
        <f t="shared" ref="AB179:AB187" si="181">Z179-AA179</f>
        <v>6064.86002666667</v>
      </c>
    </row>
    <row r="180" ht="15.5" spans="1:28">
      <c r="A180" s="464">
        <v>164</v>
      </c>
      <c r="B180" s="351" t="s">
        <v>360</v>
      </c>
      <c r="C180" s="806">
        <v>170495.666666667</v>
      </c>
      <c r="D180" s="466">
        <v>12</v>
      </c>
      <c r="E180" s="467">
        <f t="shared" si="177"/>
        <v>2045948</v>
      </c>
      <c r="F180" s="620"/>
      <c r="G180" s="468">
        <v>137755.84</v>
      </c>
      <c r="I180" s="467">
        <f t="shared" si="178"/>
        <v>1908192.16</v>
      </c>
      <c r="J180" s="467">
        <v>200000</v>
      </c>
      <c r="K180" s="467">
        <v>0.2</v>
      </c>
      <c r="L180" s="467">
        <f t="shared" si="179"/>
        <v>381638.432000001</v>
      </c>
      <c r="M180" s="467">
        <f t="shared" si="180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1:28">
      <c r="A181" s="464">
        <v>165</v>
      </c>
      <c r="B181" s="351" t="s">
        <v>394</v>
      </c>
      <c r="C181" s="806">
        <v>164773.5</v>
      </c>
      <c r="D181" s="466">
        <v>12</v>
      </c>
      <c r="E181" s="467">
        <f t="shared" si="177"/>
        <v>1977282</v>
      </c>
      <c r="F181" s="620"/>
      <c r="G181" s="468">
        <v>132262.56</v>
      </c>
      <c r="I181" s="467">
        <f t="shared" si="178"/>
        <v>1845019.44</v>
      </c>
      <c r="J181" s="467">
        <v>200000</v>
      </c>
      <c r="K181" s="467">
        <v>0.2</v>
      </c>
      <c r="L181" s="467">
        <f t="shared" si="179"/>
        <v>369003.888</v>
      </c>
      <c r="M181" s="467">
        <f t="shared" si="180"/>
        <v>569003.888</v>
      </c>
      <c r="N181" s="467">
        <f t="shared" si="165"/>
        <v>701266.448</v>
      </c>
      <c r="O181" s="467">
        <f t="shared" si="166"/>
        <v>1276015.552</v>
      </c>
      <c r="P181" s="467">
        <f t="shared" si="167"/>
        <v>21000</v>
      </c>
      <c r="Q181" s="467">
        <f t="shared" si="168"/>
        <v>33000</v>
      </c>
      <c r="R181" s="467">
        <f t="shared" si="169"/>
        <v>75000</v>
      </c>
      <c r="S181" s="467">
        <f t="shared" si="170"/>
        <v>33442.95488</v>
      </c>
      <c r="T181" s="467">
        <f t="shared" si="171"/>
        <v>0</v>
      </c>
      <c r="V181" s="467">
        <f t="shared" si="173"/>
        <v>162442.95488</v>
      </c>
      <c r="W181" s="474">
        <v>12</v>
      </c>
      <c r="X181" s="467">
        <f t="shared" si="174"/>
        <v>13536.9129066667</v>
      </c>
      <c r="Z181" s="929">
        <f t="shared" si="175"/>
        <v>13536.9129066667</v>
      </c>
      <c r="AA181" s="806">
        <v>3685.06</v>
      </c>
      <c r="AB181" s="806">
        <f t="shared" si="181"/>
        <v>9851.85290666667</v>
      </c>
    </row>
    <row r="182" ht="15.5" spans="1:28">
      <c r="A182" s="464">
        <v>166</v>
      </c>
      <c r="B182" s="351" t="s">
        <v>397</v>
      </c>
      <c r="C182" s="806">
        <v>156912.666666667</v>
      </c>
      <c r="D182" s="466">
        <v>12</v>
      </c>
      <c r="E182" s="467">
        <f t="shared" si="177"/>
        <v>1882952</v>
      </c>
      <c r="F182" s="620"/>
      <c r="G182" s="468">
        <v>129516.16</v>
      </c>
      <c r="I182" s="467">
        <f t="shared" si="178"/>
        <v>1753435.84</v>
      </c>
      <c r="J182" s="467">
        <v>200000</v>
      </c>
      <c r="K182" s="467">
        <v>0.2</v>
      </c>
      <c r="L182" s="467">
        <f t="shared" si="179"/>
        <v>350687.168000001</v>
      </c>
      <c r="M182" s="467">
        <f t="shared" si="180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1:28">
      <c r="A183" s="464">
        <v>167</v>
      </c>
      <c r="B183" s="351" t="s">
        <v>401</v>
      </c>
      <c r="C183" s="806">
        <v>157279.033333333</v>
      </c>
      <c r="D183" s="466">
        <v>12</v>
      </c>
      <c r="E183" s="467">
        <f t="shared" si="177"/>
        <v>1887348.4</v>
      </c>
      <c r="F183" s="620"/>
      <c r="G183" s="468">
        <v>123887.44</v>
      </c>
      <c r="I183" s="467">
        <f t="shared" si="178"/>
        <v>1763460.96</v>
      </c>
      <c r="J183" s="467">
        <v>200000</v>
      </c>
      <c r="K183" s="467">
        <v>0.2</v>
      </c>
      <c r="L183" s="467">
        <f t="shared" si="179"/>
        <v>352692.191999999</v>
      </c>
      <c r="M183" s="467">
        <f t="shared" si="180"/>
        <v>552692.191999999</v>
      </c>
      <c r="N183" s="467">
        <f t="shared" si="165"/>
        <v>676579.631999999</v>
      </c>
      <c r="O183" s="467">
        <f t="shared" si="166"/>
        <v>1210768.768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21046.0659199994</v>
      </c>
      <c r="T183" s="467">
        <f t="shared" si="171"/>
        <v>0</v>
      </c>
      <c r="V183" s="467">
        <f t="shared" si="173"/>
        <v>150046.065919999</v>
      </c>
      <c r="W183" s="474">
        <v>12</v>
      </c>
      <c r="X183" s="467">
        <f t="shared" si="174"/>
        <v>12503.8388266666</v>
      </c>
      <c r="Z183" s="929">
        <f t="shared" si="175"/>
        <v>12503.8388266666</v>
      </c>
      <c r="AA183" s="806">
        <v>5230.0988</v>
      </c>
      <c r="AB183" s="806">
        <f t="shared" si="181"/>
        <v>7273.74002666662</v>
      </c>
    </row>
    <row r="184" ht="15.5" spans="1:28">
      <c r="A184" s="464">
        <v>168</v>
      </c>
      <c r="B184" s="351" t="s">
        <v>404</v>
      </c>
      <c r="C184" s="806">
        <v>148049.416666667</v>
      </c>
      <c r="D184" s="466">
        <v>12</v>
      </c>
      <c r="E184" s="467">
        <f t="shared" si="177"/>
        <v>1776593</v>
      </c>
      <c r="F184" s="620"/>
      <c r="G184" s="468">
        <v>123887.44</v>
      </c>
      <c r="I184" s="467">
        <f t="shared" si="178"/>
        <v>1652705.56</v>
      </c>
      <c r="J184" s="467">
        <v>200000</v>
      </c>
      <c r="K184" s="467">
        <v>0.2</v>
      </c>
      <c r="L184" s="467">
        <f t="shared" si="179"/>
        <v>330541.112000001</v>
      </c>
      <c r="M184" s="467">
        <f t="shared" si="180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1:28">
      <c r="A185" s="464">
        <v>169</v>
      </c>
      <c r="B185" s="351" t="s">
        <v>405</v>
      </c>
      <c r="C185" s="806">
        <v>148049.416666667</v>
      </c>
      <c r="D185" s="466">
        <v>12</v>
      </c>
      <c r="E185" s="467">
        <f t="shared" si="177"/>
        <v>1776593</v>
      </c>
      <c r="F185" s="620"/>
      <c r="G185" s="487">
        <v>123887.44</v>
      </c>
      <c r="I185" s="486">
        <f t="shared" si="178"/>
        <v>1652705.56</v>
      </c>
      <c r="J185" s="467">
        <v>200000</v>
      </c>
      <c r="K185" s="467">
        <v>0.2</v>
      </c>
      <c r="L185" s="467">
        <f t="shared" si="179"/>
        <v>330541.112000001</v>
      </c>
      <c r="M185" s="467">
        <f t="shared" si="180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1:28">
      <c r="A186" s="464">
        <v>170</v>
      </c>
      <c r="B186" s="351" t="s">
        <v>406</v>
      </c>
      <c r="C186" s="806">
        <v>162634.666666667</v>
      </c>
      <c r="D186" s="466">
        <v>12</v>
      </c>
      <c r="E186" s="467">
        <f t="shared" si="177"/>
        <v>1951616</v>
      </c>
      <c r="F186" s="620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1:28">
      <c r="A187" s="464">
        <v>171</v>
      </c>
      <c r="B187" s="351" t="s">
        <v>409</v>
      </c>
      <c r="C187" s="806">
        <v>162634.666666667</v>
      </c>
      <c r="D187" s="466">
        <v>12</v>
      </c>
      <c r="E187" s="467">
        <f t="shared" si="177"/>
        <v>1951616</v>
      </c>
      <c r="F187" s="620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120</v>
      </c>
      <c r="W188" s="618"/>
      <c r="X188" s="933">
        <f t="shared" ref="X188:AB188" si="182">SUM(X6:X187)</f>
        <v>14484768.4273648</v>
      </c>
      <c r="Y188" s="933"/>
      <c r="Z188" s="935">
        <f t="shared" si="182"/>
        <v>14484768.4273648</v>
      </c>
      <c r="AA188" s="935">
        <f t="shared" si="182"/>
        <v>10905235.8361748</v>
      </c>
      <c r="AB188" s="936">
        <f t="shared" si="182"/>
        <v>3580729.78158993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E15" activePane="bottomRight" state="frozen"/>
      <selection/>
      <selection pane="topRight"/>
      <selection pane="bottomLeft"/>
      <selection pane="bottomRight" activeCell="H16" sqref="H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605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516</v>
      </c>
      <c r="F4" s="906" t="s">
        <v>490</v>
      </c>
      <c r="G4" s="914" t="s">
        <v>523</v>
      </c>
      <c r="H4" s="914" t="s">
        <v>524</v>
      </c>
      <c r="I4" s="914" t="s">
        <v>499</v>
      </c>
      <c r="J4" s="914" t="s">
        <v>526</v>
      </c>
    </row>
    <row r="5" ht="17.25" customHeight="1" spans="1:10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</row>
    <row r="6" ht="17.25" customHeight="1" spans="1:10">
      <c r="A6" s="4"/>
      <c r="B6" s="4"/>
      <c r="C6" s="8"/>
      <c r="D6" s="8"/>
      <c r="E6" s="10" t="s">
        <v>527</v>
      </c>
      <c r="F6" s="908" t="s">
        <v>528</v>
      </c>
      <c r="G6" s="915" t="s">
        <v>535</v>
      </c>
      <c r="H6" s="915" t="s">
        <v>536</v>
      </c>
      <c r="I6" s="915" t="s">
        <v>537</v>
      </c>
      <c r="J6" s="915" t="s">
        <v>539</v>
      </c>
    </row>
    <row r="7" customHeight="1" spans="1:10">
      <c r="A7" s="9" t="s">
        <v>21</v>
      </c>
      <c r="B7" s="8" t="s">
        <v>22</v>
      </c>
      <c r="C7" s="8"/>
      <c r="D7" s="8"/>
      <c r="E7" s="10"/>
      <c r="F7" s="908"/>
      <c r="G7" s="915"/>
      <c r="H7" s="915" t="s">
        <v>545</v>
      </c>
      <c r="I7" s="915" t="s">
        <v>546</v>
      </c>
      <c r="J7" s="915" t="s">
        <v>546</v>
      </c>
    </row>
    <row r="8" customHeight="1" spans="1:10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916"/>
      <c r="H8" s="916"/>
      <c r="I8" s="916">
        <f t="shared" ref="I8:I38" si="0">H8-G8</f>
        <v>0</v>
      </c>
      <c r="J8" s="916">
        <f t="shared" ref="J8:J38" si="1">H8*12</f>
        <v>0</v>
      </c>
    </row>
    <row r="9" customHeight="1" spans="1:10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916"/>
      <c r="H9" s="916"/>
      <c r="I9" s="916">
        <f t="shared" si="0"/>
        <v>0</v>
      </c>
      <c r="J9" s="916">
        <f t="shared" si="1"/>
        <v>0</v>
      </c>
    </row>
    <row r="10" customHeight="1" spans="1:10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916"/>
      <c r="H10" s="916"/>
      <c r="I10" s="916">
        <f t="shared" si="0"/>
        <v>0</v>
      </c>
      <c r="J10" s="916">
        <f t="shared" si="1"/>
        <v>0</v>
      </c>
    </row>
    <row r="11" customHeight="1" spans="1:10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916">
        <v>10293.3979166667</v>
      </c>
      <c r="H11" s="916">
        <f t="shared" ref="H11:H13" si="2">0.025*F11</f>
        <v>13866.7375</v>
      </c>
      <c r="I11" s="916">
        <f t="shared" si="0"/>
        <v>3573.3395833333</v>
      </c>
      <c r="J11" s="916">
        <f t="shared" si="1"/>
        <v>166400.85</v>
      </c>
    </row>
    <row r="12" customHeight="1" spans="1:10">
      <c r="A12" s="10">
        <v>5</v>
      </c>
      <c r="B12" s="11" t="s">
        <v>33</v>
      </c>
      <c r="C12" s="12" t="s">
        <v>34</v>
      </c>
      <c r="D12" s="15" t="s">
        <v>506</v>
      </c>
      <c r="E12" s="85">
        <v>716034</v>
      </c>
      <c r="F12" s="909">
        <f>'[18] FGN 2024 MGT Monthly'!$H$44</f>
        <v>523386.5</v>
      </c>
      <c r="G12" s="916">
        <v>10293.3979166667</v>
      </c>
      <c r="H12" s="916">
        <f t="shared" si="2"/>
        <v>13084.6625</v>
      </c>
      <c r="I12" s="916">
        <f t="shared" si="0"/>
        <v>2791.2645833333</v>
      </c>
      <c r="J12" s="916">
        <f t="shared" si="1"/>
        <v>157015.95</v>
      </c>
    </row>
    <row r="13" customHeight="1" spans="1:10">
      <c r="A13" s="10">
        <v>6</v>
      </c>
      <c r="B13" s="11" t="s">
        <v>36</v>
      </c>
      <c r="C13" s="4" t="s">
        <v>37</v>
      </c>
      <c r="D13" s="10" t="s">
        <v>49</v>
      </c>
      <c r="E13" s="85">
        <v>601396.833333333</v>
      </c>
      <c r="F13" s="909">
        <v>445995.833333333</v>
      </c>
      <c r="G13" s="916">
        <v>7859.63125</v>
      </c>
      <c r="H13" s="916">
        <f t="shared" si="2"/>
        <v>11149.8958333333</v>
      </c>
      <c r="I13" s="916">
        <f t="shared" si="0"/>
        <v>3290.26458333333</v>
      </c>
      <c r="J13" s="916">
        <f t="shared" si="1"/>
        <v>133798.75</v>
      </c>
    </row>
    <row r="14" customHeight="1" spans="1:10">
      <c r="A14" s="10">
        <v>7</v>
      </c>
      <c r="B14" s="11" t="s">
        <v>39</v>
      </c>
      <c r="C14" s="4" t="s">
        <v>547</v>
      </c>
      <c r="D14" s="15" t="s">
        <v>189</v>
      </c>
      <c r="E14" s="85">
        <v>484373.75</v>
      </c>
      <c r="F14" s="909">
        <v>366417.5</v>
      </c>
      <c r="G14" s="916"/>
      <c r="H14" s="916">
        <f t="shared" ref="H14:H38" si="3">0.025*F14</f>
        <v>9160.4375</v>
      </c>
      <c r="I14" s="916">
        <f t="shared" si="0"/>
        <v>9160.4375</v>
      </c>
      <c r="J14" s="916">
        <f t="shared" si="1"/>
        <v>109925.25</v>
      </c>
    </row>
    <row r="15" customHeight="1" spans="1:10">
      <c r="A15" s="10">
        <v>8</v>
      </c>
      <c r="B15" s="14" t="s">
        <v>42</v>
      </c>
      <c r="C15" s="17" t="s">
        <v>43</v>
      </c>
      <c r="D15" s="15" t="s">
        <v>49</v>
      </c>
      <c r="E15" s="85">
        <v>601396.833333333</v>
      </c>
      <c r="F15" s="909">
        <f>'[18] FGN 2024 MGT Monthly'!$I$43</f>
        <v>445995.833333333</v>
      </c>
      <c r="G15" s="916"/>
      <c r="H15" s="916">
        <f t="shared" si="3"/>
        <v>11149.8958333333</v>
      </c>
      <c r="I15" s="916">
        <f t="shared" si="0"/>
        <v>11149.8958333333</v>
      </c>
      <c r="J15" s="916">
        <f t="shared" si="1"/>
        <v>133798.75</v>
      </c>
    </row>
    <row r="16" customHeight="1" spans="1:10">
      <c r="A16" s="10">
        <v>9</v>
      </c>
      <c r="B16" s="11" t="s">
        <v>44</v>
      </c>
      <c r="C16" s="4" t="s">
        <v>45</v>
      </c>
      <c r="D16" s="10" t="s">
        <v>212</v>
      </c>
      <c r="E16" s="85">
        <v>456622.25</v>
      </c>
      <c r="F16" s="909">
        <v>347715.916666667</v>
      </c>
      <c r="G16" s="916"/>
      <c r="H16" s="916">
        <f t="shared" si="3"/>
        <v>8692.89791666667</v>
      </c>
      <c r="I16" s="916">
        <f t="shared" si="0"/>
        <v>8692.89791666667</v>
      </c>
      <c r="J16" s="916">
        <f t="shared" si="1"/>
        <v>104314.775</v>
      </c>
    </row>
    <row r="17" customHeight="1" spans="1:10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916"/>
      <c r="H17" s="916">
        <f t="shared" si="3"/>
        <v>10824.5270833333</v>
      </c>
      <c r="I17" s="916">
        <f t="shared" si="0"/>
        <v>10824.5270833333</v>
      </c>
      <c r="J17" s="916">
        <f t="shared" si="1"/>
        <v>129894.325</v>
      </c>
    </row>
    <row r="18" customHeight="1" spans="1:10">
      <c r="A18" s="10">
        <v>11</v>
      </c>
      <c r="B18" s="11" t="s">
        <v>50</v>
      </c>
      <c r="C18" s="12" t="s">
        <v>60</v>
      </c>
      <c r="D18" s="15" t="s">
        <v>55</v>
      </c>
      <c r="E18" s="85">
        <v>441804.916666667</v>
      </c>
      <c r="F18" s="909">
        <v>337730.833333333</v>
      </c>
      <c r="G18" s="916"/>
      <c r="H18" s="916">
        <f t="shared" si="3"/>
        <v>8443.27083333333</v>
      </c>
      <c r="I18" s="916">
        <f t="shared" si="0"/>
        <v>8443.27083333333</v>
      </c>
      <c r="J18" s="916">
        <f t="shared" si="1"/>
        <v>101319.25</v>
      </c>
    </row>
    <row r="19" customHeight="1" spans="1:10">
      <c r="A19" s="10">
        <v>12</v>
      </c>
      <c r="B19" s="18" t="s">
        <v>53</v>
      </c>
      <c r="C19" s="4" t="s">
        <v>54</v>
      </c>
      <c r="D19" s="15" t="s">
        <v>548</v>
      </c>
      <c r="E19" s="85">
        <v>428915.916666667</v>
      </c>
      <c r="F19" s="909">
        <v>329044.916666667</v>
      </c>
      <c r="G19" s="916">
        <v>5607.17708333333</v>
      </c>
      <c r="H19" s="916">
        <f t="shared" si="3"/>
        <v>8226.12291666667</v>
      </c>
      <c r="I19" s="916">
        <f t="shared" si="0"/>
        <v>2618.94583333334</v>
      </c>
      <c r="J19" s="916">
        <f t="shared" si="1"/>
        <v>98713.4750000001</v>
      </c>
    </row>
    <row r="20" customHeight="1" spans="1:10">
      <c r="A20" s="10">
        <v>13</v>
      </c>
      <c r="B20" s="18" t="s">
        <v>56</v>
      </c>
      <c r="C20" s="4" t="s">
        <v>57</v>
      </c>
      <c r="D20" s="15" t="s">
        <v>503</v>
      </c>
      <c r="E20" s="676">
        <v>403138</v>
      </c>
      <c r="F20" s="909">
        <v>311673.25</v>
      </c>
      <c r="G20" s="916">
        <v>5967.30625</v>
      </c>
      <c r="H20" s="916">
        <f t="shared" si="3"/>
        <v>7791.83125</v>
      </c>
      <c r="I20" s="916">
        <f t="shared" si="0"/>
        <v>1824.525</v>
      </c>
      <c r="J20" s="916">
        <f t="shared" si="1"/>
        <v>93501.975</v>
      </c>
    </row>
    <row r="21" customHeight="1" spans="1:10">
      <c r="A21" s="10">
        <v>14</v>
      </c>
      <c r="B21" s="18" t="s">
        <v>59</v>
      </c>
      <c r="C21" s="4" t="s">
        <v>60</v>
      </c>
      <c r="D21" s="15" t="s">
        <v>503</v>
      </c>
      <c r="E21" s="676">
        <v>403138</v>
      </c>
      <c r="F21" s="909">
        <v>311673.25</v>
      </c>
      <c r="G21" s="916"/>
      <c r="H21" s="916">
        <f t="shared" si="3"/>
        <v>7791.83125</v>
      </c>
      <c r="I21" s="916">
        <f t="shared" si="0"/>
        <v>7791.83125</v>
      </c>
      <c r="J21" s="916">
        <f t="shared" si="1"/>
        <v>93501.975</v>
      </c>
    </row>
    <row r="22" customHeight="1" spans="1:10">
      <c r="A22" s="10">
        <v>15</v>
      </c>
      <c r="B22" s="11" t="s">
        <v>61</v>
      </c>
      <c r="C22" s="12" t="s">
        <v>549</v>
      </c>
      <c r="D22" s="15" t="s">
        <v>259</v>
      </c>
      <c r="E22" s="85">
        <v>402278</v>
      </c>
      <c r="F22" s="909">
        <f>'[18] FGN 2024 MGT Monthly'!$L$40</f>
        <v>311094.416666667</v>
      </c>
      <c r="G22" s="916">
        <v>5257.5625</v>
      </c>
      <c r="H22" s="916">
        <f t="shared" si="3"/>
        <v>7777.36041666667</v>
      </c>
      <c r="I22" s="916">
        <f t="shared" si="0"/>
        <v>2519.79791666667</v>
      </c>
      <c r="J22" s="916">
        <f t="shared" si="1"/>
        <v>93328.325</v>
      </c>
    </row>
    <row r="23" ht="18.75" customHeight="1" spans="1:10">
      <c r="A23" s="10">
        <v>16</v>
      </c>
      <c r="B23" s="11" t="s">
        <v>64</v>
      </c>
      <c r="C23" s="12" t="s">
        <v>176</v>
      </c>
      <c r="D23" s="15" t="s">
        <v>170</v>
      </c>
      <c r="E23" s="85">
        <v>390086.5</v>
      </c>
      <c r="F23" s="909">
        <v>302878.666666667</v>
      </c>
      <c r="G23" s="916"/>
      <c r="H23" s="916">
        <f t="shared" si="3"/>
        <v>7571.96666666667</v>
      </c>
      <c r="I23" s="916">
        <f t="shared" si="0"/>
        <v>7571.96666666667</v>
      </c>
      <c r="J23" s="916">
        <f t="shared" si="1"/>
        <v>90863.6000000001</v>
      </c>
    </row>
    <row r="24" customHeight="1" spans="1:10">
      <c r="A24" s="10">
        <v>17</v>
      </c>
      <c r="B24" s="14" t="s">
        <v>67</v>
      </c>
      <c r="C24" s="17" t="s">
        <v>68</v>
      </c>
      <c r="D24" s="10" t="s">
        <v>131</v>
      </c>
      <c r="E24" s="85">
        <v>365704</v>
      </c>
      <c r="F24" s="909">
        <v>286447.083333333</v>
      </c>
      <c r="G24" s="916"/>
      <c r="H24" s="916">
        <f t="shared" si="3"/>
        <v>7161.17708333333</v>
      </c>
      <c r="I24" s="916">
        <f t="shared" si="0"/>
        <v>7161.17708333333</v>
      </c>
      <c r="J24" s="916">
        <f t="shared" si="1"/>
        <v>85934.1249999999</v>
      </c>
    </row>
    <row r="25" ht="21.6" customHeight="1" spans="1:10">
      <c r="A25" s="10">
        <v>18</v>
      </c>
      <c r="B25" s="11" t="s">
        <v>70</v>
      </c>
      <c r="C25" s="17" t="s">
        <v>71</v>
      </c>
      <c r="D25" s="15" t="s">
        <v>131</v>
      </c>
      <c r="E25" s="85">
        <v>365704</v>
      </c>
      <c r="F25" s="909">
        <v>286447.083333333</v>
      </c>
      <c r="G25" s="916"/>
      <c r="H25" s="916">
        <f t="shared" si="3"/>
        <v>7161.17708333333</v>
      </c>
      <c r="I25" s="916">
        <f t="shared" si="0"/>
        <v>7161.17708333333</v>
      </c>
      <c r="J25" s="916">
        <f t="shared" si="1"/>
        <v>85934.1249999999</v>
      </c>
    </row>
    <row r="26" customHeight="1" spans="1:10">
      <c r="A26" s="10">
        <v>19</v>
      </c>
      <c r="B26" s="14" t="s">
        <v>72</v>
      </c>
      <c r="C26" s="17" t="s">
        <v>73</v>
      </c>
      <c r="D26" s="10" t="s">
        <v>80</v>
      </c>
      <c r="E26" s="85">
        <v>293029.666666667</v>
      </c>
      <c r="F26" s="909">
        <v>240874.583333333</v>
      </c>
      <c r="G26" s="916"/>
      <c r="H26" s="916">
        <f t="shared" si="3"/>
        <v>6021.86458333332</v>
      </c>
      <c r="I26" s="916">
        <f t="shared" si="0"/>
        <v>6021.86458333332</v>
      </c>
      <c r="J26" s="916">
        <f t="shared" si="1"/>
        <v>72262.3749999999</v>
      </c>
    </row>
    <row r="27" customHeight="1" spans="1:10">
      <c r="A27" s="10">
        <v>20</v>
      </c>
      <c r="B27" s="14" t="s">
        <v>75</v>
      </c>
      <c r="C27" s="17" t="s">
        <v>76</v>
      </c>
      <c r="D27" s="10" t="s">
        <v>74</v>
      </c>
      <c r="E27" s="85">
        <v>300965.583333333</v>
      </c>
      <c r="F27" s="909">
        <v>240874.583333333</v>
      </c>
      <c r="G27" s="916"/>
      <c r="H27" s="916">
        <f t="shared" si="3"/>
        <v>6021.86458333332</v>
      </c>
      <c r="I27" s="916">
        <f t="shared" si="0"/>
        <v>6021.86458333332</v>
      </c>
      <c r="J27" s="916">
        <f t="shared" si="1"/>
        <v>72262.3749999999</v>
      </c>
    </row>
    <row r="28" ht="18.75" customHeight="1" spans="1:10">
      <c r="A28" s="10">
        <v>21</v>
      </c>
      <c r="B28" s="4" t="s">
        <v>485</v>
      </c>
      <c r="C28" s="4" t="s">
        <v>94</v>
      </c>
      <c r="D28" s="10" t="s">
        <v>85</v>
      </c>
      <c r="E28" s="85">
        <v>277798</v>
      </c>
      <c r="F28" s="909">
        <v>227615.75</v>
      </c>
      <c r="G28" s="916"/>
      <c r="H28" s="916">
        <f t="shared" si="3"/>
        <v>5690.39375</v>
      </c>
      <c r="I28" s="916">
        <f t="shared" si="0"/>
        <v>5690.39375</v>
      </c>
      <c r="J28" s="916">
        <f t="shared" si="1"/>
        <v>68284.725</v>
      </c>
    </row>
    <row r="29" ht="18.75" customHeight="1" spans="1:10">
      <c r="A29" s="10">
        <v>22</v>
      </c>
      <c r="B29" s="18" t="s">
        <v>78</v>
      </c>
      <c r="C29" s="12" t="s">
        <v>94</v>
      </c>
      <c r="D29" s="15" t="s">
        <v>85</v>
      </c>
      <c r="E29" s="85">
        <v>277798</v>
      </c>
      <c r="F29" s="909">
        <v>227615.75</v>
      </c>
      <c r="G29" s="916"/>
      <c r="H29" s="916">
        <f t="shared" si="3"/>
        <v>5690.39375</v>
      </c>
      <c r="I29" s="916">
        <f t="shared" si="0"/>
        <v>5690.39375</v>
      </c>
      <c r="J29" s="916">
        <f t="shared" si="1"/>
        <v>68284.725</v>
      </c>
    </row>
    <row r="30" customHeight="1" spans="1:10">
      <c r="A30" s="10">
        <v>23</v>
      </c>
      <c r="B30" s="11" t="s">
        <v>81</v>
      </c>
      <c r="C30" s="17" t="s">
        <v>68</v>
      </c>
      <c r="D30" s="10" t="s">
        <v>85</v>
      </c>
      <c r="E30" s="85">
        <v>277798</v>
      </c>
      <c r="F30" s="909">
        <v>227615.75</v>
      </c>
      <c r="G30" s="916"/>
      <c r="H30" s="916">
        <f t="shared" si="3"/>
        <v>5690.39375</v>
      </c>
      <c r="I30" s="916">
        <f t="shared" si="0"/>
        <v>5690.39375</v>
      </c>
      <c r="J30" s="916">
        <f t="shared" si="1"/>
        <v>68284.725</v>
      </c>
    </row>
    <row r="31" ht="18.75" customHeight="1" spans="1:10">
      <c r="A31" s="10">
        <v>24</v>
      </c>
      <c r="B31" s="18" t="s">
        <v>83</v>
      </c>
      <c r="C31" s="12" t="s">
        <v>84</v>
      </c>
      <c r="D31" s="15" t="s">
        <v>88</v>
      </c>
      <c r="E31" s="85">
        <v>270481.666666667</v>
      </c>
      <c r="F31" s="909">
        <v>222674.583333333</v>
      </c>
      <c r="G31" s="916"/>
      <c r="H31" s="916">
        <f t="shared" si="3"/>
        <v>5566.86458333332</v>
      </c>
      <c r="I31" s="916">
        <f t="shared" si="0"/>
        <v>5566.86458333332</v>
      </c>
      <c r="J31" s="916">
        <f t="shared" si="1"/>
        <v>66802.3749999999</v>
      </c>
    </row>
    <row r="32" ht="18.75" customHeight="1" spans="1:10">
      <c r="A32" s="10">
        <v>25</v>
      </c>
      <c r="B32" s="18" t="s">
        <v>86</v>
      </c>
      <c r="C32" s="4" t="s">
        <v>87</v>
      </c>
      <c r="D32" s="10" t="s">
        <v>99</v>
      </c>
      <c r="E32" s="85">
        <v>263165.333333333</v>
      </c>
      <c r="F32" s="909">
        <v>217733.416666667</v>
      </c>
      <c r="G32" s="916"/>
      <c r="H32" s="916">
        <f t="shared" si="3"/>
        <v>5443.33541666668</v>
      </c>
      <c r="I32" s="916">
        <f t="shared" si="0"/>
        <v>5443.33541666668</v>
      </c>
      <c r="J32" s="916">
        <f t="shared" si="1"/>
        <v>65320.0250000001</v>
      </c>
    </row>
    <row r="33" ht="18.75" customHeight="1" spans="1:10">
      <c r="A33" s="10">
        <v>26</v>
      </c>
      <c r="B33" s="18" t="s">
        <v>89</v>
      </c>
      <c r="C33" s="4" t="s">
        <v>87</v>
      </c>
      <c r="D33" s="10" t="s">
        <v>99</v>
      </c>
      <c r="E33" s="85">
        <v>263165.333333333</v>
      </c>
      <c r="F33" s="909">
        <v>217733.416666667</v>
      </c>
      <c r="G33" s="916"/>
      <c r="H33" s="916">
        <f t="shared" si="3"/>
        <v>5443.33541666668</v>
      </c>
      <c r="I33" s="916">
        <f t="shared" si="0"/>
        <v>5443.33541666668</v>
      </c>
      <c r="J33" s="916">
        <f t="shared" si="1"/>
        <v>65320.0250000001</v>
      </c>
    </row>
    <row r="34" ht="18.75" customHeight="1" spans="1:10">
      <c r="A34" s="10">
        <v>27</v>
      </c>
      <c r="B34" s="18" t="s">
        <v>91</v>
      </c>
      <c r="C34" s="17" t="s">
        <v>550</v>
      </c>
      <c r="D34" s="15" t="s">
        <v>85</v>
      </c>
      <c r="E34" s="85">
        <v>277798</v>
      </c>
      <c r="F34" s="909">
        <v>227615.75</v>
      </c>
      <c r="G34" s="916">
        <v>3653.5</v>
      </c>
      <c r="H34" s="916">
        <f t="shared" si="3"/>
        <v>5690.39375</v>
      </c>
      <c r="I34" s="916">
        <f t="shared" si="0"/>
        <v>2036.89375</v>
      </c>
      <c r="J34" s="916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09">
        <v>217733.416666667</v>
      </c>
      <c r="G35" s="916"/>
      <c r="H35" s="916">
        <f t="shared" si="3"/>
        <v>5443.33541666668</v>
      </c>
      <c r="I35" s="916">
        <f t="shared" si="0"/>
        <v>5443.33541666668</v>
      </c>
      <c r="J35" s="916">
        <f t="shared" si="1"/>
        <v>65320.0250000001</v>
      </c>
    </row>
    <row r="36" ht="18.75" customHeight="1" spans="1:10">
      <c r="A36" s="10">
        <v>29</v>
      </c>
      <c r="B36" s="18" t="s">
        <v>95</v>
      </c>
      <c r="C36" s="4" t="s">
        <v>551</v>
      </c>
      <c r="D36" s="10" t="s">
        <v>99</v>
      </c>
      <c r="E36" s="85">
        <v>263165.333333333</v>
      </c>
      <c r="F36" s="909">
        <v>217733.416666667</v>
      </c>
      <c r="G36" s="916"/>
      <c r="H36" s="916">
        <f t="shared" si="3"/>
        <v>5443.33541666668</v>
      </c>
      <c r="I36" s="916">
        <f t="shared" si="0"/>
        <v>5443.33541666668</v>
      </c>
      <c r="J36" s="916">
        <f t="shared" si="1"/>
        <v>65320.0250000001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09">
        <v>196364.416666667</v>
      </c>
      <c r="G37" s="916"/>
      <c r="H37" s="916">
        <f t="shared" si="3"/>
        <v>4909.11041666668</v>
      </c>
      <c r="I37" s="916">
        <f t="shared" si="0"/>
        <v>4909.11041666668</v>
      </c>
      <c r="J37" s="916">
        <f t="shared" si="1"/>
        <v>58909.3250000001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76">
        <v>224459.75</v>
      </c>
      <c r="F38" s="909">
        <v>192179.416666667</v>
      </c>
      <c r="G38" s="916"/>
      <c r="H38" s="916">
        <f t="shared" si="3"/>
        <v>4804.48541666668</v>
      </c>
      <c r="I38" s="916">
        <f t="shared" si="0"/>
        <v>4804.48541666668</v>
      </c>
      <c r="J38" s="916">
        <f t="shared" si="1"/>
        <v>57653.8250000001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4">SUM(E8:E38)</f>
        <v>14073003.667</v>
      </c>
      <c r="F39" s="910">
        <f t="shared" si="4"/>
        <v>10664632</v>
      </c>
      <c r="G39" s="221">
        <f t="shared" si="4"/>
        <v>48931.9729166667</v>
      </c>
      <c r="H39" s="221">
        <f t="shared" si="4"/>
        <v>211712.897916667</v>
      </c>
      <c r="I39" s="221">
        <f t="shared" si="4"/>
        <v>162780.925</v>
      </c>
      <c r="J39" s="221">
        <f t="shared" si="4"/>
        <v>2540554.775</v>
      </c>
    </row>
    <row r="40" ht="18.75" customHeight="1" spans="1:10">
      <c r="A40" s="10"/>
      <c r="B40" s="22"/>
      <c r="C40" s="4"/>
      <c r="D40" s="15"/>
      <c r="E40" s="221"/>
      <c r="F40" s="910"/>
      <c r="G40" s="916"/>
      <c r="H40" s="916"/>
      <c r="I40" s="916"/>
      <c r="J40" s="916"/>
    </row>
    <row r="41" ht="18.75" customHeight="1" spans="1:10">
      <c r="A41" s="10"/>
      <c r="B41" s="20" t="s">
        <v>121</v>
      </c>
      <c r="C41" s="4"/>
      <c r="D41" s="15"/>
      <c r="E41" s="85"/>
      <c r="F41" s="909"/>
      <c r="G41" s="916"/>
      <c r="H41" s="916"/>
      <c r="I41" s="916"/>
      <c r="J41" s="916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09">
        <v>1086777.08333333</v>
      </c>
      <c r="G42" s="916"/>
      <c r="H42" s="916">
        <f>0.025*F42</f>
        <v>27169.4270833333</v>
      </c>
      <c r="I42" s="916">
        <f t="shared" ref="I42:I45" si="5">H42-G42</f>
        <v>27169.4270833333</v>
      </c>
      <c r="J42" s="916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74</v>
      </c>
      <c r="E43" s="85">
        <v>300965.583333333</v>
      </c>
      <c r="F43" s="909">
        <v>240874.583333333</v>
      </c>
      <c r="G43" s="916"/>
      <c r="H43" s="916">
        <f>0.025*F43</f>
        <v>6021.86458333332</v>
      </c>
      <c r="I43" s="916">
        <f t="shared" si="5"/>
        <v>6021.86458333332</v>
      </c>
      <c r="J43" s="916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77</v>
      </c>
      <c r="E44" s="85">
        <v>308901.5</v>
      </c>
      <c r="F44" s="909">
        <v>246171.166666667</v>
      </c>
      <c r="G44" s="916"/>
      <c r="H44" s="916">
        <f t="shared" ref="H44:H54" si="6">0.025*F44</f>
        <v>6154.27916666668</v>
      </c>
      <c r="I44" s="916">
        <f t="shared" si="5"/>
        <v>6154.27916666668</v>
      </c>
      <c r="J44" s="916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76">
        <v>263165.333333333</v>
      </c>
      <c r="F45" s="909">
        <v>217733.416666667</v>
      </c>
      <c r="G45" s="916"/>
      <c r="H45" s="916">
        <f t="shared" si="6"/>
        <v>5443.33541666668</v>
      </c>
      <c r="I45" s="916">
        <f t="shared" si="5"/>
        <v>5443.33541666668</v>
      </c>
      <c r="J45" s="916"/>
    </row>
    <row r="46" ht="19.5" customHeight="1" spans="1:10">
      <c r="A46" s="10"/>
      <c r="B46" s="14"/>
      <c r="C46" s="21">
        <v>4</v>
      </c>
      <c r="D46" s="10"/>
      <c r="E46" s="221">
        <f t="shared" ref="E46:J46" si="7">SUM(E42:E45)</f>
        <v>2308752.41666667</v>
      </c>
      <c r="F46" s="910">
        <f t="shared" si="7"/>
        <v>1791556.25</v>
      </c>
      <c r="G46" s="221">
        <f t="shared" si="7"/>
        <v>0</v>
      </c>
      <c r="H46" s="221">
        <f t="shared" si="7"/>
        <v>44788.9062499999</v>
      </c>
      <c r="I46" s="221">
        <f t="shared" si="7"/>
        <v>44788.9062499999</v>
      </c>
      <c r="J46" s="221">
        <f t="shared" si="7"/>
        <v>0</v>
      </c>
    </row>
    <row r="47" customHeight="1" spans="1:10">
      <c r="A47" s="10"/>
      <c r="B47" s="14"/>
      <c r="C47" s="4"/>
      <c r="D47" s="10"/>
      <c r="E47" s="221"/>
      <c r="F47" s="910"/>
      <c r="G47" s="916"/>
      <c r="H47" s="916"/>
      <c r="I47" s="916"/>
      <c r="J47" s="916"/>
    </row>
    <row r="48" customHeight="1" spans="1:10">
      <c r="A48" s="10"/>
      <c r="B48" s="23" t="s">
        <v>137</v>
      </c>
      <c r="C48" s="5"/>
      <c r="D48" s="24"/>
      <c r="E48" s="221"/>
      <c r="F48" s="910"/>
      <c r="G48" s="916"/>
      <c r="H48" s="916"/>
      <c r="I48" s="916"/>
      <c r="J48" s="916"/>
    </row>
    <row r="49" customHeight="1" spans="1:10">
      <c r="A49" s="10">
        <v>1</v>
      </c>
      <c r="B49" s="11" t="s">
        <v>138</v>
      </c>
      <c r="C49" s="4" t="s">
        <v>552</v>
      </c>
      <c r="D49" s="10" t="s">
        <v>35</v>
      </c>
      <c r="E49" s="85">
        <v>762373.166666667</v>
      </c>
      <c r="F49" s="909">
        <v>554669.5</v>
      </c>
      <c r="G49" s="916"/>
      <c r="H49" s="916">
        <f t="shared" si="6"/>
        <v>13866.7375</v>
      </c>
      <c r="I49" s="916">
        <f t="shared" ref="I49:I56" si="8">H49-G49</f>
        <v>13866.7375</v>
      </c>
      <c r="J49" s="916"/>
    </row>
    <row r="50" customHeight="1" spans="1:10">
      <c r="A50" s="10">
        <v>2</v>
      </c>
      <c r="B50" s="11" t="s">
        <v>141</v>
      </c>
      <c r="C50" s="4" t="s">
        <v>142</v>
      </c>
      <c r="D50" s="10" t="s">
        <v>38</v>
      </c>
      <c r="E50" s="85">
        <v>620675.583333333</v>
      </c>
      <c r="F50" s="909">
        <v>459010.5</v>
      </c>
      <c r="G50" s="916"/>
      <c r="H50" s="916">
        <f t="shared" si="6"/>
        <v>11475.2625</v>
      </c>
      <c r="I50" s="916">
        <f t="shared" si="8"/>
        <v>11475.2625</v>
      </c>
      <c r="J50" s="916"/>
    </row>
    <row r="51" customHeight="1" spans="1:10">
      <c r="A51" s="10">
        <v>3</v>
      </c>
      <c r="B51" s="11" t="s">
        <v>143</v>
      </c>
      <c r="C51" s="4" t="s">
        <v>142</v>
      </c>
      <c r="D51" s="10" t="s">
        <v>38</v>
      </c>
      <c r="E51" s="85">
        <v>620675.583333333</v>
      </c>
      <c r="F51" s="909">
        <v>459010.5</v>
      </c>
      <c r="G51" s="916">
        <v>8380.22708333333</v>
      </c>
      <c r="H51" s="916">
        <f t="shared" si="6"/>
        <v>11475.2625</v>
      </c>
      <c r="I51" s="916">
        <f t="shared" si="8"/>
        <v>3095.03541666667</v>
      </c>
      <c r="J51" s="916">
        <f>H51*12</f>
        <v>137703.15</v>
      </c>
    </row>
    <row r="52" customHeight="1" spans="1:10">
      <c r="A52" s="10">
        <v>4</v>
      </c>
      <c r="B52" s="11" t="s">
        <v>144</v>
      </c>
      <c r="C52" s="4" t="s">
        <v>142</v>
      </c>
      <c r="D52" s="10" t="s">
        <v>49</v>
      </c>
      <c r="E52" s="85">
        <v>601396.833333333</v>
      </c>
      <c r="F52" s="909">
        <v>445995.833333333</v>
      </c>
      <c r="G52" s="916"/>
      <c r="H52" s="916">
        <f t="shared" si="6"/>
        <v>11149.8958333333</v>
      </c>
      <c r="I52" s="916">
        <f t="shared" si="8"/>
        <v>11149.8958333333</v>
      </c>
      <c r="J52" s="916"/>
    </row>
    <row r="53" customHeight="1" spans="1:10">
      <c r="A53" s="10">
        <v>5</v>
      </c>
      <c r="B53" s="14" t="s">
        <v>145</v>
      </c>
      <c r="C53" s="4" t="s">
        <v>142</v>
      </c>
      <c r="D53" s="10" t="s">
        <v>41</v>
      </c>
      <c r="E53" s="85">
        <v>582118.083333333</v>
      </c>
      <c r="F53" s="909">
        <v>432981.083333333</v>
      </c>
      <c r="G53" s="916"/>
      <c r="H53" s="916">
        <f t="shared" si="6"/>
        <v>10824.5270833333</v>
      </c>
      <c r="I53" s="916">
        <f t="shared" si="8"/>
        <v>10824.5270833333</v>
      </c>
      <c r="J53" s="916"/>
    </row>
    <row r="54" customHeight="1" spans="1:10">
      <c r="A54" s="10">
        <v>6</v>
      </c>
      <c r="B54" s="11" t="s">
        <v>149</v>
      </c>
      <c r="C54" s="4" t="s">
        <v>150</v>
      </c>
      <c r="D54" s="10" t="s">
        <v>77</v>
      </c>
      <c r="E54" s="85">
        <v>308901.5</v>
      </c>
      <c r="F54" s="909">
        <v>246171.166666667</v>
      </c>
      <c r="G54" s="916"/>
      <c r="H54" s="916">
        <f t="shared" si="6"/>
        <v>6154.27916666668</v>
      </c>
      <c r="I54" s="916">
        <f t="shared" si="8"/>
        <v>6154.27916666668</v>
      </c>
      <c r="J54" s="916"/>
    </row>
    <row r="55" customHeight="1" spans="1:10">
      <c r="A55" s="10">
        <v>7</v>
      </c>
      <c r="B55" s="11" t="s">
        <v>153</v>
      </c>
      <c r="C55" s="4" t="s">
        <v>150</v>
      </c>
      <c r="D55" s="10" t="s">
        <v>88</v>
      </c>
      <c r="E55" s="85">
        <v>270481.666666667</v>
      </c>
      <c r="F55" s="909">
        <v>222674.583333333</v>
      </c>
      <c r="G55" s="916"/>
      <c r="H55" s="916">
        <f t="shared" ref="H55:H61" si="9">0.025*F55</f>
        <v>5566.86458333332</v>
      </c>
      <c r="I55" s="916">
        <f t="shared" si="8"/>
        <v>5566.86458333332</v>
      </c>
      <c r="J55" s="916"/>
    </row>
    <row r="56" customHeight="1" spans="1:10">
      <c r="A56" s="10">
        <v>8</v>
      </c>
      <c r="B56" s="11" t="s">
        <v>154</v>
      </c>
      <c r="C56" s="4" t="s">
        <v>150</v>
      </c>
      <c r="D56" s="10" t="s">
        <v>88</v>
      </c>
      <c r="E56" s="85">
        <v>270481.666666667</v>
      </c>
      <c r="F56" s="909">
        <v>222674.583333333</v>
      </c>
      <c r="G56" s="916"/>
      <c r="H56" s="916">
        <f t="shared" si="9"/>
        <v>5566.86458333332</v>
      </c>
      <c r="I56" s="916">
        <f t="shared" si="8"/>
        <v>5566.86458333332</v>
      </c>
      <c r="J56" s="916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10">SUM(E49:E56)</f>
        <v>4037104.08333333</v>
      </c>
      <c r="F57" s="912">
        <f t="shared" si="10"/>
        <v>3043187.75</v>
      </c>
      <c r="G57" s="93">
        <f t="shared" si="10"/>
        <v>8380.22708333333</v>
      </c>
      <c r="H57" s="93">
        <f t="shared" si="10"/>
        <v>76079.69375</v>
      </c>
      <c r="I57" s="93">
        <f t="shared" si="10"/>
        <v>67699.4666666667</v>
      </c>
      <c r="J57" s="93">
        <f t="shared" si="10"/>
        <v>137703.15</v>
      </c>
    </row>
    <row r="58" customHeight="1" spans="1:10">
      <c r="A58" s="10"/>
      <c r="B58" s="22"/>
      <c r="C58" s="21"/>
      <c r="D58" s="21"/>
      <c r="E58" s="146"/>
      <c r="F58" s="913"/>
      <c r="G58" s="916"/>
      <c r="H58" s="916"/>
      <c r="I58" s="916"/>
      <c r="J58" s="916"/>
    </row>
    <row r="59" customHeight="1" spans="1:10">
      <c r="A59" s="10"/>
      <c r="B59" s="20" t="s">
        <v>156</v>
      </c>
      <c r="C59" s="21"/>
      <c r="D59" s="21"/>
      <c r="E59" s="146"/>
      <c r="F59" s="913"/>
      <c r="G59" s="916"/>
      <c r="H59" s="916"/>
      <c r="I59" s="916"/>
      <c r="J59" s="916"/>
    </row>
    <row r="60" customHeight="1" spans="1:10">
      <c r="A60" s="10">
        <v>1</v>
      </c>
      <c r="B60" s="11" t="s">
        <v>157</v>
      </c>
      <c r="C60" s="12" t="s">
        <v>158</v>
      </c>
      <c r="D60" s="15" t="s">
        <v>124</v>
      </c>
      <c r="E60" s="85">
        <v>1435720</v>
      </c>
      <c r="F60" s="909">
        <v>1086777.08333333</v>
      </c>
      <c r="G60" s="916"/>
      <c r="H60" s="916">
        <f t="shared" si="9"/>
        <v>27169.4270833333</v>
      </c>
      <c r="I60" s="916">
        <f t="shared" ref="I60:I71" si="11">H60-G60</f>
        <v>27169.4270833333</v>
      </c>
      <c r="J60" s="916"/>
    </row>
    <row r="61" customHeight="1" spans="1:10">
      <c r="A61" s="10">
        <v>2</v>
      </c>
      <c r="B61" s="11" t="s">
        <v>159</v>
      </c>
      <c r="C61" s="12" t="s">
        <v>160</v>
      </c>
      <c r="D61" s="15" t="s">
        <v>161</v>
      </c>
      <c r="E61" s="85">
        <v>620675.583333333</v>
      </c>
      <c r="F61" s="909">
        <v>459010.5</v>
      </c>
      <c r="G61" s="916"/>
      <c r="H61" s="916">
        <f t="shared" si="9"/>
        <v>11475.2625</v>
      </c>
      <c r="I61" s="916">
        <f t="shared" si="11"/>
        <v>11475.2625</v>
      </c>
      <c r="J61" s="916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2">SUM(E60:E61)</f>
        <v>2056395.58333333</v>
      </c>
      <c r="F62" s="912">
        <f t="shared" si="12"/>
        <v>1545787.58333333</v>
      </c>
      <c r="G62" s="93">
        <f t="shared" si="12"/>
        <v>0</v>
      </c>
      <c r="H62" s="93">
        <f t="shared" si="12"/>
        <v>38644.6895833333</v>
      </c>
      <c r="I62" s="93">
        <f t="shared" si="12"/>
        <v>38644.6895833333</v>
      </c>
      <c r="J62" s="93">
        <f t="shared" si="12"/>
        <v>0</v>
      </c>
    </row>
    <row r="63" customHeight="1" spans="1:10">
      <c r="A63" s="10"/>
      <c r="B63" s="20"/>
      <c r="C63" s="21"/>
      <c r="D63" s="21"/>
      <c r="E63" s="146"/>
      <c r="F63" s="913"/>
      <c r="G63" s="916"/>
      <c r="H63" s="916"/>
      <c r="I63" s="916"/>
      <c r="J63" s="916"/>
    </row>
    <row r="64" customHeight="1" spans="1:10">
      <c r="A64" s="10"/>
      <c r="B64" s="20" t="s">
        <v>162</v>
      </c>
      <c r="C64" s="21"/>
      <c r="D64" s="21"/>
      <c r="E64" s="146"/>
      <c r="F64" s="913"/>
      <c r="G64" s="916"/>
      <c r="H64" s="916"/>
      <c r="I64" s="916"/>
      <c r="J64" s="916"/>
    </row>
    <row r="65" customHeight="1" spans="1:10">
      <c r="A65" s="10">
        <v>1</v>
      </c>
      <c r="B65" s="14" t="s">
        <v>163</v>
      </c>
      <c r="C65" s="4" t="s">
        <v>164</v>
      </c>
      <c r="D65" s="10" t="s">
        <v>35</v>
      </c>
      <c r="E65" s="85">
        <v>762373.166666667</v>
      </c>
      <c r="F65" s="909">
        <v>554669.5</v>
      </c>
      <c r="G65" s="916">
        <v>10293.3979166667</v>
      </c>
      <c r="H65" s="916">
        <f>0.025*F65</f>
        <v>13866.7375</v>
      </c>
      <c r="I65" s="916">
        <f t="shared" si="11"/>
        <v>3573.3395833333</v>
      </c>
      <c r="J65" s="916">
        <f>H65*12</f>
        <v>166400.85</v>
      </c>
    </row>
    <row r="66" customHeight="1" spans="1:10">
      <c r="A66" s="10">
        <v>2</v>
      </c>
      <c r="B66" s="11" t="s">
        <v>165</v>
      </c>
      <c r="C66" s="4" t="s">
        <v>51</v>
      </c>
      <c r="D66" s="10" t="s">
        <v>212</v>
      </c>
      <c r="E66" s="85">
        <v>456622.25</v>
      </c>
      <c r="F66" s="909">
        <v>347715.916666667</v>
      </c>
      <c r="G66" s="916"/>
      <c r="H66" s="916">
        <f t="shared" ref="H66:H71" si="13">0.025*F66</f>
        <v>8692.89791666667</v>
      </c>
      <c r="I66" s="916">
        <f t="shared" si="11"/>
        <v>8692.89791666667</v>
      </c>
      <c r="J66" s="916"/>
    </row>
    <row r="67" customHeight="1" spans="1:10">
      <c r="A67" s="10">
        <v>3</v>
      </c>
      <c r="B67" s="11" t="s">
        <v>169</v>
      </c>
      <c r="C67" s="4" t="s">
        <v>150</v>
      </c>
      <c r="D67" s="10" t="s">
        <v>69</v>
      </c>
      <c r="E67" s="85">
        <v>377895.166666667</v>
      </c>
      <c r="F67" s="909">
        <v>294662.916666667</v>
      </c>
      <c r="G67" s="916"/>
      <c r="H67" s="916">
        <f t="shared" si="13"/>
        <v>7366.57291666668</v>
      </c>
      <c r="I67" s="916">
        <f t="shared" si="11"/>
        <v>7366.57291666668</v>
      </c>
      <c r="J67" s="916"/>
    </row>
    <row r="68" customHeight="1" spans="1:10">
      <c r="A68" s="10">
        <v>4</v>
      </c>
      <c r="B68" s="11" t="s">
        <v>171</v>
      </c>
      <c r="C68" s="17" t="s">
        <v>71</v>
      </c>
      <c r="D68" s="10" t="s">
        <v>69</v>
      </c>
      <c r="E68" s="85">
        <v>377895.166666667</v>
      </c>
      <c r="F68" s="909">
        <v>294662.916666667</v>
      </c>
      <c r="G68" s="916"/>
      <c r="H68" s="916">
        <f t="shared" si="13"/>
        <v>7366.57291666668</v>
      </c>
      <c r="I68" s="916">
        <f t="shared" si="11"/>
        <v>7366.57291666668</v>
      </c>
      <c r="J68" s="916"/>
    </row>
    <row r="69" customHeight="1" spans="1:10">
      <c r="A69" s="10">
        <v>5</v>
      </c>
      <c r="B69" s="11" t="s">
        <v>172</v>
      </c>
      <c r="C69" s="17" t="s">
        <v>71</v>
      </c>
      <c r="D69" s="10" t="s">
        <v>69</v>
      </c>
      <c r="E69" s="85">
        <v>377895.166666667</v>
      </c>
      <c r="F69" s="909">
        <v>294662.916666667</v>
      </c>
      <c r="G69" s="916"/>
      <c r="H69" s="916">
        <f t="shared" si="13"/>
        <v>7366.57291666668</v>
      </c>
      <c r="I69" s="916">
        <f t="shared" si="11"/>
        <v>7366.57291666668</v>
      </c>
      <c r="J69" s="916"/>
    </row>
    <row r="70" customHeight="1" spans="1:10">
      <c r="A70" s="10">
        <v>6</v>
      </c>
      <c r="B70" s="11" t="s">
        <v>173</v>
      </c>
      <c r="C70" s="4" t="s">
        <v>553</v>
      </c>
      <c r="D70" s="10" t="s">
        <v>170</v>
      </c>
      <c r="E70" s="457">
        <v>390086.5</v>
      </c>
      <c r="F70" s="909">
        <v>302878.666666667</v>
      </c>
      <c r="G70" s="916"/>
      <c r="H70" s="916">
        <f t="shared" si="13"/>
        <v>7571.96666666667</v>
      </c>
      <c r="I70" s="916">
        <f t="shared" si="11"/>
        <v>7571.96666666667</v>
      </c>
      <c r="J70" s="916"/>
    </row>
    <row r="71" ht="21.6" customHeight="1" spans="1:10">
      <c r="A71" s="10">
        <v>7</v>
      </c>
      <c r="B71" s="11" t="s">
        <v>177</v>
      </c>
      <c r="C71" s="4" t="s">
        <v>150</v>
      </c>
      <c r="D71" s="10" t="s">
        <v>77</v>
      </c>
      <c r="E71" s="220">
        <v>308901.5</v>
      </c>
      <c r="F71" s="909">
        <v>246171.166666667</v>
      </c>
      <c r="G71" s="916"/>
      <c r="H71" s="916">
        <f t="shared" si="13"/>
        <v>6154.27916666668</v>
      </c>
      <c r="I71" s="916">
        <f t="shared" si="11"/>
        <v>6154.27916666668</v>
      </c>
      <c r="J71" s="916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4">SUM(E65:E71)</f>
        <v>3051668.91666667</v>
      </c>
      <c r="F72" s="912">
        <f t="shared" si="14"/>
        <v>2335424</v>
      </c>
      <c r="G72" s="93">
        <f t="shared" si="14"/>
        <v>10293.3979166667</v>
      </c>
      <c r="H72" s="93">
        <f t="shared" si="14"/>
        <v>58385.6</v>
      </c>
      <c r="I72" s="93">
        <f t="shared" si="14"/>
        <v>48092.2020833334</v>
      </c>
      <c r="J72" s="93">
        <f t="shared" si="14"/>
        <v>166400.85</v>
      </c>
    </row>
    <row r="73" customHeight="1" spans="1:10">
      <c r="A73" s="10"/>
      <c r="B73" s="22"/>
      <c r="C73" s="21"/>
      <c r="D73" s="21"/>
      <c r="E73" s="146"/>
      <c r="F73" s="913"/>
      <c r="G73" s="916"/>
      <c r="H73" s="916"/>
      <c r="I73" s="916"/>
      <c r="J73" s="916"/>
    </row>
    <row r="74" customHeight="1" spans="1:10">
      <c r="A74" s="10"/>
      <c r="B74" s="20" t="s">
        <v>180</v>
      </c>
      <c r="C74" s="21"/>
      <c r="D74" s="21"/>
      <c r="E74" s="146"/>
      <c r="F74" s="913"/>
      <c r="G74" s="916"/>
      <c r="H74" s="916"/>
      <c r="I74" s="916"/>
      <c r="J74" s="916"/>
    </row>
    <row r="75" customHeight="1" spans="1:10">
      <c r="A75" s="10">
        <v>1</v>
      </c>
      <c r="B75" s="11" t="s">
        <v>181</v>
      </c>
      <c r="C75" s="4" t="s">
        <v>182</v>
      </c>
      <c r="D75" s="10" t="s">
        <v>124</v>
      </c>
      <c r="E75" s="85">
        <v>1435720</v>
      </c>
      <c r="F75" s="909">
        <v>1086777.08333333</v>
      </c>
      <c r="G75" s="916"/>
      <c r="H75" s="916">
        <f t="shared" ref="H75:H80" si="15">0.025*F75</f>
        <v>27169.4270833333</v>
      </c>
      <c r="I75" s="916">
        <f t="shared" ref="I75:I80" si="16">H75-G75</f>
        <v>27169.4270833333</v>
      </c>
      <c r="J75" s="916"/>
    </row>
    <row r="76" customHeight="1" spans="1:10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916"/>
      <c r="H76" s="916">
        <f t="shared" si="15"/>
        <v>11149.8958333333</v>
      </c>
      <c r="I76" s="916">
        <f t="shared" si="16"/>
        <v>11149.8958333333</v>
      </c>
      <c r="J76" s="916"/>
    </row>
    <row r="77" customHeight="1" spans="1:10">
      <c r="A77" s="10">
        <v>3</v>
      </c>
      <c r="B77" s="11" t="s">
        <v>187</v>
      </c>
      <c r="C77" s="4" t="s">
        <v>188</v>
      </c>
      <c r="D77" s="15" t="s">
        <v>46</v>
      </c>
      <c r="E77" s="85">
        <v>470498</v>
      </c>
      <c r="F77" s="909">
        <v>357066.666666667</v>
      </c>
      <c r="G77" s="916">
        <v>6154.32291666667</v>
      </c>
      <c r="H77" s="916">
        <f t="shared" si="15"/>
        <v>8926.66666666668</v>
      </c>
      <c r="I77" s="916">
        <f t="shared" si="16"/>
        <v>2772.34375000001</v>
      </c>
      <c r="J77" s="916">
        <f>H77*12</f>
        <v>107120</v>
      </c>
    </row>
    <row r="78" customHeight="1" spans="1:10">
      <c r="A78" s="10">
        <v>4</v>
      </c>
      <c r="B78" s="11" t="s">
        <v>194</v>
      </c>
      <c r="C78" s="4" t="s">
        <v>195</v>
      </c>
      <c r="D78" s="10" t="s">
        <v>131</v>
      </c>
      <c r="E78" s="85">
        <v>365703.833333333</v>
      </c>
      <c r="F78" s="909">
        <v>286447.083333333</v>
      </c>
      <c r="G78" s="916"/>
      <c r="H78" s="916">
        <f t="shared" si="15"/>
        <v>7161.17708333333</v>
      </c>
      <c r="I78" s="916">
        <f t="shared" si="16"/>
        <v>7161.17708333333</v>
      </c>
      <c r="J78" s="916"/>
    </row>
    <row r="79" customHeight="1" spans="1:10">
      <c r="A79" s="10">
        <v>5</v>
      </c>
      <c r="B79" s="11" t="s">
        <v>198</v>
      </c>
      <c r="C79" s="4" t="s">
        <v>179</v>
      </c>
      <c r="D79" s="10" t="s">
        <v>99</v>
      </c>
      <c r="E79" s="85">
        <v>263165.333333333</v>
      </c>
      <c r="F79" s="909">
        <v>222674.583333333</v>
      </c>
      <c r="G79" s="916"/>
      <c r="H79" s="916">
        <f t="shared" si="15"/>
        <v>5566.86458333332</v>
      </c>
      <c r="I79" s="916">
        <f t="shared" si="16"/>
        <v>5566.86458333332</v>
      </c>
      <c r="J79" s="916"/>
    </row>
    <row r="80" customHeight="1" spans="1:10">
      <c r="A80" s="10">
        <v>6</v>
      </c>
      <c r="B80" s="11" t="s">
        <v>200</v>
      </c>
      <c r="C80" s="4" t="s">
        <v>201</v>
      </c>
      <c r="D80" s="10" t="s">
        <v>108</v>
      </c>
      <c r="E80" s="85">
        <v>230631.916666667</v>
      </c>
      <c r="F80" s="909">
        <v>196364.416666667</v>
      </c>
      <c r="G80" s="916"/>
      <c r="H80" s="916">
        <f t="shared" si="15"/>
        <v>4909.11041666668</v>
      </c>
      <c r="I80" s="916">
        <f t="shared" si="16"/>
        <v>4909.11041666668</v>
      </c>
      <c r="J80" s="916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7">SUM(E75:E80)</f>
        <v>3347837.16666667</v>
      </c>
      <c r="F81" s="912">
        <f t="shared" si="17"/>
        <v>2595325.66666666</v>
      </c>
      <c r="G81" s="93">
        <f t="shared" si="17"/>
        <v>6154.32291666667</v>
      </c>
      <c r="H81" s="93">
        <f t="shared" si="17"/>
        <v>64883.1416666666</v>
      </c>
      <c r="I81" s="93">
        <f t="shared" si="17"/>
        <v>58728.8187499999</v>
      </c>
      <c r="J81" s="93">
        <f t="shared" si="17"/>
        <v>107120</v>
      </c>
    </row>
    <row r="82" customHeight="1" spans="1:10">
      <c r="A82" s="10"/>
      <c r="B82" s="20"/>
      <c r="C82" s="21"/>
      <c r="D82" s="21"/>
      <c r="E82" s="146"/>
      <c r="F82" s="913"/>
      <c r="G82" s="916"/>
      <c r="H82" s="916"/>
      <c r="I82" s="916"/>
      <c r="J82" s="916"/>
    </row>
    <row r="83" customHeight="1" spans="1:10">
      <c r="A83" s="10"/>
      <c r="B83" s="20" t="s">
        <v>202</v>
      </c>
      <c r="C83" s="25"/>
      <c r="D83" s="21"/>
      <c r="E83" s="146"/>
      <c r="F83" s="913"/>
      <c r="G83" s="916"/>
      <c r="H83" s="916"/>
      <c r="I83" s="916"/>
      <c r="J83" s="916"/>
    </row>
    <row r="84" customHeight="1" spans="1:10">
      <c r="A84" s="10">
        <v>1</v>
      </c>
      <c r="B84" s="11" t="s">
        <v>203</v>
      </c>
      <c r="C84" s="4" t="s">
        <v>142</v>
      </c>
      <c r="D84" s="10" t="s">
        <v>505</v>
      </c>
      <c r="E84" s="85">
        <f>'[3]Annual &amp; Monthly'!$H$44</f>
        <v>1352042.66666667</v>
      </c>
      <c r="F84" s="909">
        <v>1025768.33333333</v>
      </c>
      <c r="G84" s="916">
        <v>18254.975</v>
      </c>
      <c r="H84" s="916">
        <f>0.025*F84</f>
        <v>25644.2083333333</v>
      </c>
      <c r="I84" s="916">
        <f t="shared" ref="I84:I93" si="18">H84-G84</f>
        <v>7389.23333333325</v>
      </c>
      <c r="J84" s="916">
        <f>H84*12</f>
        <v>307730.499999999</v>
      </c>
    </row>
    <row r="85" customHeight="1" spans="1:10">
      <c r="A85" s="10">
        <v>2</v>
      </c>
      <c r="B85" s="11" t="s">
        <v>205</v>
      </c>
      <c r="C85" s="4" t="s">
        <v>206</v>
      </c>
      <c r="D85" s="10" t="s">
        <v>506</v>
      </c>
      <c r="E85" s="85">
        <v>716034</v>
      </c>
      <c r="F85" s="909">
        <v>523386.5</v>
      </c>
      <c r="G85" s="916"/>
      <c r="H85" s="916">
        <f t="shared" ref="H85:H93" si="19">0.025*F85</f>
        <v>13084.6625</v>
      </c>
      <c r="I85" s="916">
        <f t="shared" si="18"/>
        <v>13084.6625</v>
      </c>
      <c r="J85" s="916"/>
    </row>
    <row r="86" customHeight="1" spans="1:10">
      <c r="A86" s="10">
        <v>3</v>
      </c>
      <c r="B86" s="11" t="s">
        <v>208</v>
      </c>
      <c r="C86" s="4" t="s">
        <v>142</v>
      </c>
      <c r="D86" s="10" t="s">
        <v>49</v>
      </c>
      <c r="E86" s="85">
        <v>601396.833333333</v>
      </c>
      <c r="F86" s="909">
        <v>445995.833333333</v>
      </c>
      <c r="G86" s="916"/>
      <c r="H86" s="916">
        <f t="shared" si="19"/>
        <v>11149.8958333333</v>
      </c>
      <c r="I86" s="916">
        <f t="shared" si="18"/>
        <v>11149.8958333333</v>
      </c>
      <c r="J86" s="916"/>
    </row>
    <row r="87" ht="21.6" customHeight="1" spans="1:10">
      <c r="A87" s="10">
        <v>4</v>
      </c>
      <c r="B87" s="11" t="s">
        <v>209</v>
      </c>
      <c r="C87" s="4" t="s">
        <v>51</v>
      </c>
      <c r="D87" s="15" t="s">
        <v>212</v>
      </c>
      <c r="E87" s="85">
        <v>456622.25</v>
      </c>
      <c r="F87" s="909">
        <v>442746.5</v>
      </c>
      <c r="G87" s="916"/>
      <c r="H87" s="916">
        <f t="shared" si="19"/>
        <v>11068.6625</v>
      </c>
      <c r="I87" s="916">
        <f t="shared" si="18"/>
        <v>11068.6625</v>
      </c>
      <c r="J87" s="916"/>
    </row>
    <row r="88" ht="21.6" customHeight="1" spans="1:10">
      <c r="A88" s="10">
        <v>5</v>
      </c>
      <c r="B88" s="11" t="s">
        <v>210</v>
      </c>
      <c r="C88" s="4" t="s">
        <v>51</v>
      </c>
      <c r="D88" s="15" t="s">
        <v>212</v>
      </c>
      <c r="E88" s="85">
        <v>456622.25</v>
      </c>
      <c r="F88" s="909">
        <v>442746.5</v>
      </c>
      <c r="G88" s="916"/>
      <c r="H88" s="916">
        <f t="shared" si="19"/>
        <v>11068.6625</v>
      </c>
      <c r="I88" s="916">
        <f t="shared" si="18"/>
        <v>11068.6625</v>
      </c>
      <c r="J88" s="916"/>
    </row>
    <row r="89" ht="21.6" customHeight="1" spans="1:10">
      <c r="A89" s="10">
        <v>6</v>
      </c>
      <c r="B89" s="11" t="s">
        <v>211</v>
      </c>
      <c r="C89" s="12" t="s">
        <v>51</v>
      </c>
      <c r="D89" s="15" t="s">
        <v>52</v>
      </c>
      <c r="E89" s="85">
        <v>442746.5</v>
      </c>
      <c r="F89" s="909">
        <v>428870.75</v>
      </c>
      <c r="G89" s="916"/>
      <c r="H89" s="916">
        <f t="shared" si="19"/>
        <v>10721.76875</v>
      </c>
      <c r="I89" s="916">
        <f t="shared" si="18"/>
        <v>10721.76875</v>
      </c>
      <c r="J89" s="916"/>
    </row>
    <row r="90" ht="21.6" customHeight="1" spans="1:10">
      <c r="A90" s="10">
        <v>7</v>
      </c>
      <c r="B90" s="11" t="s">
        <v>213</v>
      </c>
      <c r="C90" s="17" t="s">
        <v>71</v>
      </c>
      <c r="D90" s="15" t="s">
        <v>69</v>
      </c>
      <c r="E90" s="85">
        <v>377895.166666667</v>
      </c>
      <c r="F90" s="909">
        <v>294662.916666667</v>
      </c>
      <c r="G90" s="916"/>
      <c r="H90" s="916">
        <f t="shared" si="19"/>
        <v>7366.57291666668</v>
      </c>
      <c r="I90" s="916">
        <f t="shared" si="18"/>
        <v>7366.57291666668</v>
      </c>
      <c r="J90" s="916"/>
    </row>
    <row r="91" ht="21.6" customHeight="1" spans="1:10">
      <c r="A91" s="10">
        <v>8</v>
      </c>
      <c r="B91" s="11" t="s">
        <v>214</v>
      </c>
      <c r="C91" s="17" t="s">
        <v>167</v>
      </c>
      <c r="D91" s="15" t="s">
        <v>63</v>
      </c>
      <c r="E91" s="85">
        <v>403137.916666667</v>
      </c>
      <c r="F91" s="909">
        <v>311673.25</v>
      </c>
      <c r="G91" s="916">
        <v>5259.74375</v>
      </c>
      <c r="H91" s="916">
        <f t="shared" si="19"/>
        <v>7791.83125</v>
      </c>
      <c r="I91" s="916">
        <f t="shared" si="18"/>
        <v>2532.0875</v>
      </c>
      <c r="J91" s="916">
        <f>H91*12</f>
        <v>93501.975</v>
      </c>
    </row>
    <row r="92" ht="21.6" customHeight="1" spans="1:10">
      <c r="A92" s="10">
        <v>9</v>
      </c>
      <c r="B92" s="11" t="s">
        <v>217</v>
      </c>
      <c r="C92" s="4" t="s">
        <v>218</v>
      </c>
      <c r="D92" s="10" t="s">
        <v>77</v>
      </c>
      <c r="E92" s="220">
        <v>308901.5</v>
      </c>
      <c r="F92" s="909">
        <v>246171.166666667</v>
      </c>
      <c r="G92" s="916"/>
      <c r="H92" s="916">
        <f t="shared" si="19"/>
        <v>6154.27916666668</v>
      </c>
      <c r="I92" s="916">
        <f t="shared" si="18"/>
        <v>6154.27916666668</v>
      </c>
      <c r="J92" s="916"/>
    </row>
    <row r="93" ht="21.6" customHeight="1" spans="1:10">
      <c r="A93" s="10">
        <v>10</v>
      </c>
      <c r="B93" s="11" t="s">
        <v>221</v>
      </c>
      <c r="C93" s="17" t="s">
        <v>222</v>
      </c>
      <c r="D93" s="15" t="s">
        <v>105</v>
      </c>
      <c r="E93" s="220">
        <v>236804.083333333</v>
      </c>
      <c r="F93" s="909">
        <v>200549.416666667</v>
      </c>
      <c r="G93" s="916"/>
      <c r="H93" s="916">
        <f t="shared" si="19"/>
        <v>5013.73541666668</v>
      </c>
      <c r="I93" s="916">
        <f t="shared" si="18"/>
        <v>5013.73541666668</v>
      </c>
      <c r="J93" s="916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20">SUM(E84:E93)</f>
        <v>5352203.16666667</v>
      </c>
      <c r="F94" s="912">
        <f t="shared" si="20"/>
        <v>4362571.16666666</v>
      </c>
      <c r="G94" s="93">
        <f t="shared" si="20"/>
        <v>23514.71875</v>
      </c>
      <c r="H94" s="93">
        <f t="shared" si="20"/>
        <v>109064.279166667</v>
      </c>
      <c r="I94" s="93">
        <f t="shared" si="20"/>
        <v>85549.5604166666</v>
      </c>
      <c r="J94" s="93">
        <f t="shared" si="20"/>
        <v>401232.474999999</v>
      </c>
    </row>
    <row r="95" customHeight="1" spans="1:10">
      <c r="A95" s="10"/>
      <c r="B95" s="22"/>
      <c r="C95" s="21"/>
      <c r="D95" s="21"/>
      <c r="E95" s="146"/>
      <c r="F95" s="913"/>
      <c r="G95" s="916"/>
      <c r="H95" s="916"/>
      <c r="I95" s="916"/>
      <c r="J95" s="916"/>
    </row>
    <row r="96" customHeight="1" spans="1:10">
      <c r="A96" s="10"/>
      <c r="B96" s="20" t="s">
        <v>224</v>
      </c>
      <c r="C96" s="21"/>
      <c r="D96" s="21"/>
      <c r="E96" s="146"/>
      <c r="F96" s="913"/>
      <c r="G96" s="916"/>
      <c r="H96" s="916"/>
      <c r="I96" s="916"/>
      <c r="J96" s="916"/>
    </row>
    <row r="97" customHeight="1" spans="1:10">
      <c r="A97" s="10">
        <v>1</v>
      </c>
      <c r="B97" s="14" t="s">
        <v>225</v>
      </c>
      <c r="C97" s="4" t="s">
        <v>554</v>
      </c>
      <c r="D97" s="16" t="s">
        <v>140</v>
      </c>
      <c r="E97" s="85">
        <v>1393881.33333333</v>
      </c>
      <c r="F97" s="909">
        <v>1056272.83333333</v>
      </c>
      <c r="G97" s="916">
        <v>18254.975</v>
      </c>
      <c r="H97" s="916">
        <f>0.025*F97</f>
        <v>26406.8208333333</v>
      </c>
      <c r="I97" s="916">
        <f t="shared" ref="I97:I101" si="21">H97-G97</f>
        <v>8151.84583333325</v>
      </c>
      <c r="J97" s="916">
        <f t="shared" ref="J97:J101" si="22">H97*12</f>
        <v>316881.849999999</v>
      </c>
    </row>
    <row r="98" customHeight="1" spans="1:10">
      <c r="A98" s="10">
        <v>2</v>
      </c>
      <c r="B98" s="11" t="s">
        <v>227</v>
      </c>
      <c r="C98" s="4" t="s">
        <v>228</v>
      </c>
      <c r="D98" s="15" t="s">
        <v>46</v>
      </c>
      <c r="E98" s="85">
        <v>470498</v>
      </c>
      <c r="F98" s="909">
        <v>357066.666666667</v>
      </c>
      <c r="G98" s="916"/>
      <c r="H98" s="916">
        <f>0.025*F98</f>
        <v>8926.66666666668</v>
      </c>
      <c r="I98" s="916">
        <f t="shared" si="21"/>
        <v>8926.66666666668</v>
      </c>
      <c r="J98" s="916">
        <f t="shared" si="22"/>
        <v>107120</v>
      </c>
    </row>
    <row r="99" customHeight="1" spans="1:10">
      <c r="A99" s="10">
        <v>3</v>
      </c>
      <c r="B99" s="11" t="s">
        <v>229</v>
      </c>
      <c r="C99" s="12" t="s">
        <v>230</v>
      </c>
      <c r="D99" s="15" t="s">
        <v>63</v>
      </c>
      <c r="E99" s="85">
        <v>403137.916666667</v>
      </c>
      <c r="F99" s="909">
        <v>311673.25</v>
      </c>
      <c r="G99" s="916">
        <v>5967.30625</v>
      </c>
      <c r="H99" s="916">
        <f>0.025*F99</f>
        <v>7791.83125</v>
      </c>
      <c r="I99" s="916">
        <f t="shared" si="21"/>
        <v>1824.525</v>
      </c>
      <c r="J99" s="916">
        <f t="shared" si="22"/>
        <v>93501.975</v>
      </c>
    </row>
    <row r="100" customHeight="1" spans="1:10">
      <c r="A100" s="10">
        <v>4</v>
      </c>
      <c r="B100" s="11" t="s">
        <v>233</v>
      </c>
      <c r="C100" s="4" t="s">
        <v>555</v>
      </c>
      <c r="D100" s="15" t="s">
        <v>170</v>
      </c>
      <c r="E100" s="85">
        <v>390086.5</v>
      </c>
      <c r="F100" s="909">
        <v>302878.666666667</v>
      </c>
      <c r="G100" s="916"/>
      <c r="H100" s="916">
        <f t="shared" ref="H100:H109" si="23">0.025*F100</f>
        <v>7571.96666666667</v>
      </c>
      <c r="I100" s="916">
        <f t="shared" si="21"/>
        <v>7571.96666666667</v>
      </c>
      <c r="J100" s="916">
        <f t="shared" si="22"/>
        <v>90863.6000000001</v>
      </c>
    </row>
    <row r="101" customHeight="1" spans="1:10">
      <c r="A101" s="10">
        <v>5</v>
      </c>
      <c r="B101" s="11" t="s">
        <v>234</v>
      </c>
      <c r="C101" s="4" t="s">
        <v>197</v>
      </c>
      <c r="D101" s="15" t="s">
        <v>77</v>
      </c>
      <c r="E101" s="220">
        <v>308901.5</v>
      </c>
      <c r="F101" s="909">
        <v>246171.166666667</v>
      </c>
      <c r="G101" s="916"/>
      <c r="H101" s="916">
        <f t="shared" si="23"/>
        <v>6154.27916666668</v>
      </c>
      <c r="I101" s="916">
        <f t="shared" si="21"/>
        <v>6154.27916666668</v>
      </c>
      <c r="J101" s="916">
        <f t="shared" si="22"/>
        <v>73851.3500000001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24">SUM(E97:E101)</f>
        <v>2966505.25</v>
      </c>
      <c r="F102" s="912">
        <f t="shared" si="24"/>
        <v>2274062.58333333</v>
      </c>
      <c r="G102" s="93">
        <f t="shared" si="24"/>
        <v>24222.28125</v>
      </c>
      <c r="H102" s="93">
        <f t="shared" si="24"/>
        <v>56851.5645833333</v>
      </c>
      <c r="I102" s="93">
        <f t="shared" si="24"/>
        <v>32629.2833333333</v>
      </c>
      <c r="J102" s="93">
        <f t="shared" si="24"/>
        <v>682218.774999999</v>
      </c>
    </row>
    <row r="103" customHeight="1" spans="1:10">
      <c r="A103" s="4"/>
      <c r="B103" s="22"/>
      <c r="C103" s="21"/>
      <c r="D103" s="26"/>
      <c r="E103" s="146"/>
      <c r="F103" s="913"/>
      <c r="G103" s="916"/>
      <c r="H103" s="916"/>
      <c r="I103" s="916"/>
      <c r="J103" s="916"/>
    </row>
    <row r="104" customHeight="1" spans="1:10">
      <c r="A104" s="4"/>
      <c r="B104" s="20" t="s">
        <v>237</v>
      </c>
      <c r="C104" s="4"/>
      <c r="D104" s="4"/>
      <c r="E104" s="4"/>
      <c r="F104" s="917"/>
      <c r="G104" s="916"/>
      <c r="H104" s="916"/>
      <c r="I104" s="916"/>
      <c r="J104" s="916"/>
    </row>
    <row r="105" customHeight="1" spans="1:10">
      <c r="A105" s="4">
        <v>1</v>
      </c>
      <c r="B105" s="11" t="s">
        <v>556</v>
      </c>
      <c r="C105" s="12" t="s">
        <v>239</v>
      </c>
      <c r="D105" s="15" t="s">
        <v>124</v>
      </c>
      <c r="E105" s="85">
        <v>1435720</v>
      </c>
      <c r="F105" s="909">
        <v>1086777.08333333</v>
      </c>
      <c r="G105" s="916">
        <v>0</v>
      </c>
      <c r="H105" s="916">
        <f t="shared" si="23"/>
        <v>27169.4270833333</v>
      </c>
      <c r="I105" s="916">
        <f t="shared" ref="I105:I111" si="25">H105-G105</f>
        <v>27169.4270833333</v>
      </c>
      <c r="J105" s="916"/>
    </row>
    <row r="106" customHeight="1" spans="1:10">
      <c r="A106" s="4">
        <v>2</v>
      </c>
      <c r="B106" s="11" t="s">
        <v>240</v>
      </c>
      <c r="C106" s="4" t="s">
        <v>241</v>
      </c>
      <c r="D106" s="16" t="s">
        <v>35</v>
      </c>
      <c r="E106" s="85">
        <v>762373.166666667</v>
      </c>
      <c r="F106" s="909">
        <v>554669.5</v>
      </c>
      <c r="G106" s="916">
        <v>10293.3979166667</v>
      </c>
      <c r="H106" s="916">
        <f t="shared" si="23"/>
        <v>13866.7375</v>
      </c>
      <c r="I106" s="916">
        <f t="shared" si="25"/>
        <v>3573.3395833333</v>
      </c>
      <c r="J106" s="916">
        <f>H106*12</f>
        <v>166400.85</v>
      </c>
    </row>
    <row r="107" customHeight="1" spans="1:10">
      <c r="A107" s="4">
        <v>3</v>
      </c>
      <c r="B107" s="11" t="s">
        <v>242</v>
      </c>
      <c r="C107" s="4" t="s">
        <v>557</v>
      </c>
      <c r="D107" s="10" t="s">
        <v>55</v>
      </c>
      <c r="E107" s="85">
        <v>441804.916666667</v>
      </c>
      <c r="F107" s="909">
        <v>337730.833333333</v>
      </c>
      <c r="G107" s="916">
        <v>5954.61041666667</v>
      </c>
      <c r="H107" s="916">
        <f t="shared" si="23"/>
        <v>8443.27083333333</v>
      </c>
      <c r="I107" s="916">
        <f t="shared" si="25"/>
        <v>2488.66041666666</v>
      </c>
      <c r="J107" s="916">
        <f>H107*12</f>
        <v>101319.25</v>
      </c>
    </row>
    <row r="108" customHeight="1" spans="1:10">
      <c r="A108" s="4">
        <v>4</v>
      </c>
      <c r="B108" s="11" t="s">
        <v>244</v>
      </c>
      <c r="C108" s="4" t="s">
        <v>557</v>
      </c>
      <c r="D108" s="10" t="s">
        <v>55</v>
      </c>
      <c r="E108" s="85">
        <v>441804.916666667</v>
      </c>
      <c r="F108" s="909">
        <v>337730.833333333</v>
      </c>
      <c r="G108" s="916"/>
      <c r="H108" s="916">
        <f t="shared" si="23"/>
        <v>8443.27083333333</v>
      </c>
      <c r="I108" s="916">
        <f t="shared" si="25"/>
        <v>8443.27083333333</v>
      </c>
      <c r="J108" s="916"/>
    </row>
    <row r="109" customHeight="1" spans="1:10">
      <c r="A109" s="4">
        <v>5</v>
      </c>
      <c r="B109" s="11" t="s">
        <v>247</v>
      </c>
      <c r="C109" s="4" t="s">
        <v>248</v>
      </c>
      <c r="D109" s="15" t="s">
        <v>507</v>
      </c>
      <c r="E109" s="220">
        <v>255320.583333333</v>
      </c>
      <c r="F109" s="909">
        <v>213104.416666667</v>
      </c>
      <c r="G109" s="916"/>
      <c r="H109" s="916">
        <f t="shared" si="23"/>
        <v>5327.61041666668</v>
      </c>
      <c r="I109" s="916">
        <f t="shared" si="25"/>
        <v>5327.61041666668</v>
      </c>
      <c r="J109" s="916"/>
    </row>
    <row r="110" customHeight="1" spans="1:10">
      <c r="A110" s="4">
        <v>6</v>
      </c>
      <c r="B110" s="18" t="s">
        <v>250</v>
      </c>
      <c r="C110" s="4" t="s">
        <v>248</v>
      </c>
      <c r="D110" s="10" t="s">
        <v>344</v>
      </c>
      <c r="E110" s="220">
        <v>255849</v>
      </c>
      <c r="F110" s="909">
        <v>212792.166666667</v>
      </c>
      <c r="G110" s="916"/>
      <c r="H110" s="916">
        <f t="shared" ref="H110:H115" si="26">0.025*F110</f>
        <v>5319.80416666668</v>
      </c>
      <c r="I110" s="916">
        <f t="shared" si="25"/>
        <v>5319.80416666668</v>
      </c>
      <c r="J110" s="916"/>
    </row>
    <row r="111" customHeight="1" spans="1:10">
      <c r="A111" s="4">
        <v>7</v>
      </c>
      <c r="B111" s="18" t="s">
        <v>251</v>
      </c>
      <c r="C111" s="4" t="s">
        <v>248</v>
      </c>
      <c r="D111" s="15" t="s">
        <v>105</v>
      </c>
      <c r="E111" s="220">
        <v>236804.083333333</v>
      </c>
      <c r="F111" s="909">
        <v>200549.416666667</v>
      </c>
      <c r="G111" s="916"/>
      <c r="H111" s="916">
        <f t="shared" si="26"/>
        <v>5013.73541666668</v>
      </c>
      <c r="I111" s="916">
        <f t="shared" si="25"/>
        <v>5013.73541666668</v>
      </c>
      <c r="J111" s="916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7">SUM(E105:E111)</f>
        <v>3829676.66666667</v>
      </c>
      <c r="F112" s="918">
        <f t="shared" si="27"/>
        <v>2943354.25</v>
      </c>
      <c r="G112" s="223">
        <f t="shared" si="27"/>
        <v>16248.0083333334</v>
      </c>
      <c r="H112" s="223">
        <f t="shared" si="27"/>
        <v>73583.8562499999</v>
      </c>
      <c r="I112" s="223">
        <f t="shared" si="27"/>
        <v>57335.8479166666</v>
      </c>
      <c r="J112" s="223">
        <f t="shared" si="27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6"/>
      <c r="H113" s="916"/>
      <c r="I113" s="916"/>
      <c r="J113" s="916"/>
    </row>
    <row r="114" customHeight="1" spans="1:10">
      <c r="A114" s="10"/>
      <c r="B114" s="20" t="s">
        <v>255</v>
      </c>
      <c r="C114" s="21"/>
      <c r="D114" s="21"/>
      <c r="E114" s="146"/>
      <c r="F114" s="913"/>
      <c r="G114" s="916"/>
      <c r="H114" s="916"/>
      <c r="I114" s="916"/>
      <c r="J114" s="916"/>
    </row>
    <row r="115" ht="18.75" customHeight="1" spans="1:10">
      <c r="A115" s="10">
        <v>1</v>
      </c>
      <c r="B115" s="11" t="s">
        <v>257</v>
      </c>
      <c r="C115" s="4" t="s">
        <v>258</v>
      </c>
      <c r="D115" s="15" t="s">
        <v>170</v>
      </c>
      <c r="E115" s="85">
        <v>390086.5</v>
      </c>
      <c r="F115" s="909">
        <v>302878.666666667</v>
      </c>
      <c r="G115" s="916"/>
      <c r="H115" s="916">
        <f t="shared" si="26"/>
        <v>7571.96666666667</v>
      </c>
      <c r="I115" s="916">
        <f t="shared" ref="I115:I117" si="28">H115-G115</f>
        <v>7571.96666666667</v>
      </c>
      <c r="J115" s="916"/>
    </row>
    <row r="116" ht="18.75" customHeight="1" spans="1:10">
      <c r="A116" s="10">
        <v>2</v>
      </c>
      <c r="B116" s="11" t="s">
        <v>260</v>
      </c>
      <c r="C116" s="4" t="s">
        <v>71</v>
      </c>
      <c r="D116" s="15" t="s">
        <v>69</v>
      </c>
      <c r="E116" s="85">
        <v>377895.166666667</v>
      </c>
      <c r="F116" s="909">
        <v>294662.916666667</v>
      </c>
      <c r="G116" s="916"/>
      <c r="H116" s="916">
        <f t="shared" ref="H116:H122" si="29">0.025*F116</f>
        <v>7366.57291666668</v>
      </c>
      <c r="I116" s="916">
        <f t="shared" si="28"/>
        <v>7366.57291666668</v>
      </c>
      <c r="J116" s="916"/>
    </row>
    <row r="117" customHeight="1" spans="1:10">
      <c r="A117" s="10">
        <v>3</v>
      </c>
      <c r="B117" s="11" t="s">
        <v>190</v>
      </c>
      <c r="C117" s="12" t="s">
        <v>191</v>
      </c>
      <c r="D117" s="15" t="s">
        <v>66</v>
      </c>
      <c r="E117" s="85">
        <v>390248.916666667</v>
      </c>
      <c r="F117" s="909">
        <v>302987.416666667</v>
      </c>
      <c r="G117" s="916">
        <v>5967.30625</v>
      </c>
      <c r="H117" s="916">
        <f t="shared" si="29"/>
        <v>7574.68541666667</v>
      </c>
      <c r="I117" s="916">
        <f t="shared" si="28"/>
        <v>1607.37916666667</v>
      </c>
      <c r="J117" s="916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30">SUM(E115:E117)</f>
        <v>1158230.58333333</v>
      </c>
      <c r="F118" s="912">
        <f t="shared" si="30"/>
        <v>900529.000000001</v>
      </c>
      <c r="G118" s="93">
        <f t="shared" si="30"/>
        <v>5967.30625</v>
      </c>
      <c r="H118" s="93">
        <f t="shared" si="30"/>
        <v>22513.225</v>
      </c>
      <c r="I118" s="93">
        <f t="shared" si="30"/>
        <v>16545.91875</v>
      </c>
      <c r="J118" s="93">
        <f t="shared" si="30"/>
        <v>90896.2250000001</v>
      </c>
    </row>
    <row r="119" ht="24.75" customHeight="1" spans="1:10">
      <c r="A119" s="4"/>
      <c r="B119" s="20"/>
      <c r="C119" s="21"/>
      <c r="D119" s="26"/>
      <c r="E119" s="93"/>
      <c r="F119" s="912"/>
      <c r="G119" s="916"/>
      <c r="H119" s="916"/>
      <c r="I119" s="916"/>
      <c r="J119" s="916"/>
    </row>
    <row r="120" ht="24.75" customHeight="1" spans="1:10">
      <c r="A120" s="10"/>
      <c r="B120" s="20" t="s">
        <v>267</v>
      </c>
      <c r="C120" s="21"/>
      <c r="D120" s="21"/>
      <c r="E120" s="146"/>
      <c r="F120" s="913"/>
      <c r="G120" s="916"/>
      <c r="H120" s="916"/>
      <c r="I120" s="916"/>
      <c r="J120" s="916"/>
    </row>
    <row r="121" ht="24.75" customHeight="1" spans="1:10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09">
        <v>187994.416666667</v>
      </c>
      <c r="G121" s="916"/>
      <c r="H121" s="916">
        <f t="shared" si="29"/>
        <v>4699.86041666668</v>
      </c>
      <c r="I121" s="916">
        <f t="shared" ref="I121:I135" si="31">H121-G121</f>
        <v>4699.86041666668</v>
      </c>
      <c r="J121" s="916"/>
    </row>
    <row r="122" ht="24.75" customHeight="1" spans="1:10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09">
        <v>187994.416666667</v>
      </c>
      <c r="G122" s="916"/>
      <c r="H122" s="916">
        <f t="shared" si="29"/>
        <v>4699.86041666668</v>
      </c>
      <c r="I122" s="916">
        <f t="shared" si="31"/>
        <v>4699.86041666668</v>
      </c>
      <c r="J122" s="916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32">SUM(E121:E122)</f>
        <v>436575.166666666</v>
      </c>
      <c r="F123" s="912">
        <f t="shared" si="32"/>
        <v>375988.833333334</v>
      </c>
      <c r="G123" s="93">
        <f t="shared" si="32"/>
        <v>0</v>
      </c>
      <c r="H123" s="93">
        <f t="shared" si="32"/>
        <v>9399.72083333335</v>
      </c>
      <c r="I123" s="93">
        <f t="shared" si="32"/>
        <v>9399.72083333335</v>
      </c>
      <c r="J123" s="93">
        <f t="shared" si="32"/>
        <v>0</v>
      </c>
    </row>
    <row r="124" customHeight="1" spans="1:10">
      <c r="A124" s="4"/>
      <c r="B124" s="20"/>
      <c r="C124" s="21"/>
      <c r="D124" s="26"/>
      <c r="E124" s="93"/>
      <c r="F124" s="912"/>
      <c r="G124" s="916"/>
      <c r="H124" s="916"/>
      <c r="I124" s="916"/>
      <c r="J124" s="916"/>
    </row>
    <row r="125" customHeight="1" spans="1:10">
      <c r="A125" s="4"/>
      <c r="B125" s="20" t="s">
        <v>279</v>
      </c>
      <c r="C125" s="21"/>
      <c r="D125" s="21"/>
      <c r="E125" s="146"/>
      <c r="F125" s="913"/>
      <c r="G125" s="916"/>
      <c r="H125" s="916"/>
      <c r="I125" s="916"/>
      <c r="J125" s="916"/>
    </row>
    <row r="126" customHeight="1" spans="1:10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09">
        <v>1086777.08333333</v>
      </c>
      <c r="G126" s="916">
        <v>19384.7666666667</v>
      </c>
      <c r="H126" s="916">
        <f t="shared" ref="H126:H135" si="33">0.025*F126</f>
        <v>27169.4270833333</v>
      </c>
      <c r="I126" s="916">
        <f t="shared" si="31"/>
        <v>7784.66041666655</v>
      </c>
      <c r="J126" s="916">
        <f t="shared" ref="J126:J135" si="34">H126*12</f>
        <v>326033.124999999</v>
      </c>
    </row>
    <row r="127" customHeight="1" spans="1:10">
      <c r="A127" s="4">
        <v>2</v>
      </c>
      <c r="B127" s="11" t="s">
        <v>282</v>
      </c>
      <c r="C127" s="12" t="s">
        <v>558</v>
      </c>
      <c r="D127" s="15" t="s">
        <v>35</v>
      </c>
      <c r="E127" s="85">
        <v>762373.166666667</v>
      </c>
      <c r="F127" s="909">
        <v>554669.5</v>
      </c>
      <c r="G127" s="916">
        <v>9980.56666666667</v>
      </c>
      <c r="H127" s="916">
        <f t="shared" si="33"/>
        <v>13866.7375</v>
      </c>
      <c r="I127" s="916">
        <f t="shared" si="31"/>
        <v>3886.17083333333</v>
      </c>
      <c r="J127" s="916">
        <f t="shared" si="34"/>
        <v>166400.85</v>
      </c>
    </row>
    <row r="128" customHeight="1" spans="1:10">
      <c r="A128" s="4">
        <v>3</v>
      </c>
      <c r="B128" s="14" t="s">
        <v>284</v>
      </c>
      <c r="C128" s="12" t="s">
        <v>559</v>
      </c>
      <c r="D128" s="15" t="s">
        <v>506</v>
      </c>
      <c r="E128" s="85">
        <v>716034</v>
      </c>
      <c r="F128" s="909">
        <v>523386.5</v>
      </c>
      <c r="G128" s="916">
        <v>9980.56666666667</v>
      </c>
      <c r="H128" s="916">
        <f t="shared" si="33"/>
        <v>13084.6625</v>
      </c>
      <c r="I128" s="916">
        <f t="shared" si="31"/>
        <v>3104.09583333333</v>
      </c>
      <c r="J128" s="916">
        <f t="shared" si="34"/>
        <v>157015.95</v>
      </c>
    </row>
    <row r="129" customHeight="1" spans="1:10">
      <c r="A129" s="4">
        <v>4</v>
      </c>
      <c r="B129" s="11" t="s">
        <v>287</v>
      </c>
      <c r="C129" s="12" t="s">
        <v>289</v>
      </c>
      <c r="D129" s="15" t="s">
        <v>189</v>
      </c>
      <c r="E129" s="85">
        <v>484373.75</v>
      </c>
      <c r="F129" s="909">
        <v>366417.5</v>
      </c>
      <c r="G129" s="916">
        <v>0</v>
      </c>
      <c r="H129" s="916">
        <f t="shared" si="33"/>
        <v>9160.4375</v>
      </c>
      <c r="I129" s="916">
        <f t="shared" si="31"/>
        <v>9160.4375</v>
      </c>
      <c r="J129" s="916">
        <f t="shared" si="34"/>
        <v>109925.25</v>
      </c>
    </row>
    <row r="130" customHeight="1" spans="1:10">
      <c r="A130" s="4">
        <v>5</v>
      </c>
      <c r="B130" s="11" t="s">
        <v>288</v>
      </c>
      <c r="C130" s="12" t="s">
        <v>560</v>
      </c>
      <c r="D130" s="15" t="s">
        <v>212</v>
      </c>
      <c r="E130" s="85">
        <v>456622.25</v>
      </c>
      <c r="F130" s="909">
        <v>347715.916666667</v>
      </c>
      <c r="G130" s="916">
        <v>5967.30625</v>
      </c>
      <c r="H130" s="916">
        <f t="shared" si="33"/>
        <v>8692.89791666667</v>
      </c>
      <c r="I130" s="916">
        <f t="shared" si="31"/>
        <v>2725.59166666667</v>
      </c>
      <c r="J130" s="916">
        <f t="shared" si="34"/>
        <v>104314.775</v>
      </c>
    </row>
    <row r="131" customHeight="1" spans="1:10">
      <c r="A131" s="4">
        <v>6</v>
      </c>
      <c r="B131" s="11" t="s">
        <v>290</v>
      </c>
      <c r="C131" s="12" t="s">
        <v>289</v>
      </c>
      <c r="D131" s="15" t="s">
        <v>46</v>
      </c>
      <c r="E131" s="85">
        <v>470498</v>
      </c>
      <c r="F131" s="909">
        <v>357066.666666667</v>
      </c>
      <c r="G131" s="916">
        <v>6154.32291666667</v>
      </c>
      <c r="H131" s="916">
        <f t="shared" si="33"/>
        <v>8926.66666666668</v>
      </c>
      <c r="I131" s="916">
        <f t="shared" si="31"/>
        <v>2772.34375000001</v>
      </c>
      <c r="J131" s="916">
        <f t="shared" si="34"/>
        <v>107120</v>
      </c>
    </row>
    <row r="132" customHeight="1" spans="1:10">
      <c r="A132" s="4">
        <v>7</v>
      </c>
      <c r="B132" s="11" t="s">
        <v>293</v>
      </c>
      <c r="C132" s="12" t="s">
        <v>561</v>
      </c>
      <c r="D132" s="10" t="s">
        <v>85</v>
      </c>
      <c r="E132" s="85">
        <v>277798</v>
      </c>
      <c r="F132" s="909">
        <v>227615.75</v>
      </c>
      <c r="G132" s="916"/>
      <c r="H132" s="916">
        <f t="shared" si="33"/>
        <v>5690.39375</v>
      </c>
      <c r="I132" s="916">
        <f t="shared" si="31"/>
        <v>5690.39375</v>
      </c>
      <c r="J132" s="916">
        <f t="shared" si="34"/>
        <v>68284.725</v>
      </c>
    </row>
    <row r="133" customHeight="1" spans="1:10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09">
        <v>196364.416666667</v>
      </c>
      <c r="G133" s="916">
        <v>0</v>
      </c>
      <c r="H133" s="916">
        <f t="shared" si="33"/>
        <v>4909.11041666668</v>
      </c>
      <c r="I133" s="916">
        <f t="shared" si="31"/>
        <v>4909.11041666668</v>
      </c>
      <c r="J133" s="916">
        <f t="shared" si="34"/>
        <v>58909.3250000001</v>
      </c>
    </row>
    <row r="134" customHeight="1" spans="1:10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09">
        <v>196364.416666667</v>
      </c>
      <c r="G134" s="916">
        <v>0</v>
      </c>
      <c r="H134" s="916">
        <f t="shared" si="33"/>
        <v>4909.11041666668</v>
      </c>
      <c r="I134" s="916">
        <f t="shared" si="31"/>
        <v>4909.11041666668</v>
      </c>
      <c r="J134" s="916">
        <f t="shared" si="34"/>
        <v>58909.3250000001</v>
      </c>
    </row>
    <row r="135" customHeight="1" spans="1:10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09">
        <v>192179.416666667</v>
      </c>
      <c r="G135" s="916"/>
      <c r="H135" s="916">
        <f t="shared" si="33"/>
        <v>4804.48541666668</v>
      </c>
      <c r="I135" s="916">
        <f t="shared" si="31"/>
        <v>4804.48541666668</v>
      </c>
      <c r="J135" s="916">
        <f t="shared" si="34"/>
        <v>57653.8250000001</v>
      </c>
    </row>
    <row r="136" ht="28.5" customHeight="1" spans="1:10">
      <c r="A136" s="4"/>
      <c r="B136" s="20" t="s">
        <v>120</v>
      </c>
      <c r="C136" s="26" t="s">
        <v>562</v>
      </c>
      <c r="D136" s="15"/>
      <c r="E136" s="146">
        <f t="shared" ref="E136:J136" si="35">SUM(E126:E135)</f>
        <v>5289142.75</v>
      </c>
      <c r="F136" s="913">
        <f t="shared" si="35"/>
        <v>4048557.16666667</v>
      </c>
      <c r="G136" s="221">
        <f t="shared" si="35"/>
        <v>51467.5291666667</v>
      </c>
      <c r="H136" s="221">
        <f t="shared" si="35"/>
        <v>101213.929166667</v>
      </c>
      <c r="I136" s="221">
        <f t="shared" si="35"/>
        <v>49746.3999999999</v>
      </c>
      <c r="J136" s="221">
        <f t="shared" si="35"/>
        <v>1214567.15</v>
      </c>
    </row>
    <row r="137" customHeight="1" spans="1:10">
      <c r="A137" s="4"/>
      <c r="B137" s="22"/>
      <c r="C137" s="26"/>
      <c r="D137" s="15"/>
      <c r="E137" s="146"/>
      <c r="F137" s="913"/>
      <c r="G137" s="916"/>
      <c r="H137" s="916"/>
      <c r="I137" s="916"/>
      <c r="J137" s="916"/>
    </row>
    <row r="138" customHeight="1" spans="1:10">
      <c r="A138" s="4"/>
      <c r="B138" s="20" t="s">
        <v>300</v>
      </c>
      <c r="C138" s="12"/>
      <c r="D138" s="15"/>
      <c r="E138" s="85"/>
      <c r="F138" s="909"/>
      <c r="G138" s="916"/>
      <c r="H138" s="916"/>
      <c r="I138" s="916"/>
      <c r="J138" s="916"/>
    </row>
    <row r="139" customHeight="1" spans="1:10">
      <c r="A139" s="27">
        <v>1</v>
      </c>
      <c r="B139" s="14" t="s">
        <v>301</v>
      </c>
      <c r="C139" s="4" t="s">
        <v>302</v>
      </c>
      <c r="D139" s="10" t="s">
        <v>508</v>
      </c>
      <c r="E139" s="85">
        <f>'[3]Annual &amp; Monthly'!$H$44</f>
        <v>1352042.66666667</v>
      </c>
      <c r="F139" s="909">
        <v>1025768.33333333</v>
      </c>
      <c r="G139" s="916">
        <v>18254.975</v>
      </c>
      <c r="H139" s="916">
        <f t="shared" ref="H139:H156" si="36">0.025*F139</f>
        <v>25644.2083333333</v>
      </c>
      <c r="I139" s="916">
        <f t="shared" ref="I139:I198" si="37">H139-G139</f>
        <v>7389.23333333325</v>
      </c>
      <c r="J139" s="916">
        <f t="shared" ref="J139:J198" si="38">H139*12</f>
        <v>307730.499999999</v>
      </c>
    </row>
    <row r="140" customHeight="1" spans="1:10">
      <c r="A140" s="27">
        <v>2</v>
      </c>
      <c r="B140" s="14" t="s">
        <v>304</v>
      </c>
      <c r="C140" s="4" t="s">
        <v>305</v>
      </c>
      <c r="D140" s="16" t="s">
        <v>35</v>
      </c>
      <c r="E140" s="85">
        <v>762373.166666667</v>
      </c>
      <c r="F140" s="909">
        <v>554669.5</v>
      </c>
      <c r="G140" s="916">
        <v>10293.3979166667</v>
      </c>
      <c r="H140" s="916">
        <f t="shared" si="36"/>
        <v>13866.7375</v>
      </c>
      <c r="I140" s="916">
        <f t="shared" si="37"/>
        <v>3573.3395833333</v>
      </c>
      <c r="J140" s="916">
        <f t="shared" si="38"/>
        <v>166400.85</v>
      </c>
    </row>
    <row r="141" customHeight="1" spans="1:10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916">
        <v>8380.22708333333</v>
      </c>
      <c r="H141" s="916">
        <f t="shared" si="36"/>
        <v>10824.5270833333</v>
      </c>
      <c r="I141" s="916">
        <f t="shared" si="37"/>
        <v>2444.3</v>
      </c>
      <c r="J141" s="916">
        <f t="shared" si="38"/>
        <v>129894.325</v>
      </c>
    </row>
    <row r="142" customHeight="1" spans="1:10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916">
        <v>8381.22708333333</v>
      </c>
      <c r="H142" s="916">
        <f t="shared" si="36"/>
        <v>10824.5270833333</v>
      </c>
      <c r="I142" s="916">
        <f t="shared" si="37"/>
        <v>2443.3</v>
      </c>
      <c r="J142" s="916">
        <f t="shared" si="38"/>
        <v>129894.325</v>
      </c>
    </row>
    <row r="143" customHeight="1" spans="1:10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916">
        <v>8382.22708333333</v>
      </c>
      <c r="H143" s="916">
        <f t="shared" si="36"/>
        <v>10824.5270833333</v>
      </c>
      <c r="I143" s="916">
        <f t="shared" si="37"/>
        <v>2442.3</v>
      </c>
      <c r="J143" s="916">
        <f t="shared" si="38"/>
        <v>129894.325</v>
      </c>
    </row>
    <row r="144" customHeight="1" spans="1:10">
      <c r="A144" s="27">
        <v>6</v>
      </c>
      <c r="B144" s="11" t="s">
        <v>313</v>
      </c>
      <c r="C144" s="12" t="s">
        <v>230</v>
      </c>
      <c r="D144" s="15" t="s">
        <v>66</v>
      </c>
      <c r="E144" s="85">
        <v>390248.916666667</v>
      </c>
      <c r="F144" s="909">
        <v>311673.25</v>
      </c>
      <c r="G144" s="916">
        <v>0</v>
      </c>
      <c r="H144" s="916">
        <f t="shared" si="36"/>
        <v>7791.83125</v>
      </c>
      <c r="I144" s="916">
        <f t="shared" si="37"/>
        <v>7791.83125</v>
      </c>
      <c r="J144" s="916">
        <f t="shared" si="38"/>
        <v>93501.975</v>
      </c>
    </row>
    <row r="145" customHeight="1" spans="1:10">
      <c r="A145" s="27">
        <v>7</v>
      </c>
      <c r="B145" s="11" t="s">
        <v>314</v>
      </c>
      <c r="C145" s="4" t="s">
        <v>563</v>
      </c>
      <c r="D145" s="15" t="s">
        <v>66</v>
      </c>
      <c r="E145" s="85">
        <v>390248.916666667</v>
      </c>
      <c r="F145" s="909">
        <v>302987.416666667</v>
      </c>
      <c r="G145" s="916">
        <v>0</v>
      </c>
      <c r="H145" s="916">
        <f t="shared" si="36"/>
        <v>7574.68541666667</v>
      </c>
      <c r="I145" s="916">
        <f t="shared" si="37"/>
        <v>7574.68541666667</v>
      </c>
      <c r="J145" s="916">
        <f t="shared" si="38"/>
        <v>90896.2250000001</v>
      </c>
    </row>
    <row r="146" customHeight="1" spans="1:10">
      <c r="A146" s="27">
        <v>8</v>
      </c>
      <c r="B146" s="11" t="s">
        <v>316</v>
      </c>
      <c r="C146" s="12" t="s">
        <v>564</v>
      </c>
      <c r="D146" s="15" t="s">
        <v>170</v>
      </c>
      <c r="E146" s="85">
        <v>390086.5</v>
      </c>
      <c r="F146" s="909">
        <v>302878.666666667</v>
      </c>
      <c r="G146" s="916">
        <v>0</v>
      </c>
      <c r="H146" s="916">
        <f t="shared" si="36"/>
        <v>7571.96666666667</v>
      </c>
      <c r="I146" s="916">
        <f t="shared" si="37"/>
        <v>7571.96666666667</v>
      </c>
      <c r="J146" s="916">
        <f t="shared" si="38"/>
        <v>90863.6000000001</v>
      </c>
    </row>
    <row r="147" customHeight="1" spans="1:10">
      <c r="A147" s="27">
        <v>9</v>
      </c>
      <c r="B147" s="11" t="s">
        <v>318</v>
      </c>
      <c r="C147" s="12" t="s">
        <v>319</v>
      </c>
      <c r="D147" s="15" t="s">
        <v>69</v>
      </c>
      <c r="E147" s="85">
        <v>377895.166666667</v>
      </c>
      <c r="F147" s="909">
        <v>294662.916666667</v>
      </c>
      <c r="G147" s="916">
        <v>4928.93333333333</v>
      </c>
      <c r="H147" s="916">
        <f t="shared" si="36"/>
        <v>7366.57291666668</v>
      </c>
      <c r="I147" s="916">
        <f t="shared" si="37"/>
        <v>2437.63958333335</v>
      </c>
      <c r="J147" s="916">
        <f t="shared" si="38"/>
        <v>88398.8750000001</v>
      </c>
    </row>
    <row r="148" customHeight="1" spans="1:10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09">
        <v>286447.083333333</v>
      </c>
      <c r="G148" s="916">
        <v>0</v>
      </c>
      <c r="H148" s="916">
        <f t="shared" si="36"/>
        <v>7161.17708333333</v>
      </c>
      <c r="I148" s="916">
        <f t="shared" si="37"/>
        <v>7161.17708333333</v>
      </c>
      <c r="J148" s="916">
        <f t="shared" si="38"/>
        <v>85934.1249999999</v>
      </c>
    </row>
    <row r="149" customHeight="1" spans="1:10">
      <c r="A149" s="27">
        <v>11</v>
      </c>
      <c r="B149" s="11" t="s">
        <v>322</v>
      </c>
      <c r="C149" s="4" t="s">
        <v>321</v>
      </c>
      <c r="D149" s="15" t="s">
        <v>504</v>
      </c>
      <c r="E149" s="220">
        <v>353512.5</v>
      </c>
      <c r="F149" s="909">
        <v>278231.25</v>
      </c>
      <c r="G149" s="916">
        <v>0</v>
      </c>
      <c r="H149" s="916">
        <f t="shared" si="36"/>
        <v>6955.78125</v>
      </c>
      <c r="I149" s="916">
        <f t="shared" si="37"/>
        <v>6955.78125</v>
      </c>
      <c r="J149" s="916">
        <f t="shared" si="38"/>
        <v>83469.375</v>
      </c>
    </row>
    <row r="150" customHeight="1" spans="1:10">
      <c r="A150" s="27">
        <v>12</v>
      </c>
      <c r="B150" s="11" t="s">
        <v>323</v>
      </c>
      <c r="C150" s="4" t="s">
        <v>321</v>
      </c>
      <c r="D150" s="15" t="s">
        <v>504</v>
      </c>
      <c r="E150" s="220">
        <v>353512.5</v>
      </c>
      <c r="F150" s="909">
        <v>278231.25</v>
      </c>
      <c r="G150" s="916">
        <v>4928.93333333333</v>
      </c>
      <c r="H150" s="916">
        <f t="shared" si="36"/>
        <v>6955.78125</v>
      </c>
      <c r="I150" s="916">
        <f t="shared" si="37"/>
        <v>2026.84791666667</v>
      </c>
      <c r="J150" s="916">
        <f t="shared" si="38"/>
        <v>83469.375</v>
      </c>
    </row>
    <row r="151" customHeight="1" spans="1:10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09">
        <v>286447.083333333</v>
      </c>
      <c r="G151" s="916">
        <v>0</v>
      </c>
      <c r="H151" s="916">
        <f t="shared" si="36"/>
        <v>7161.17708333333</v>
      </c>
      <c r="I151" s="916">
        <f t="shared" si="37"/>
        <v>7161.17708333333</v>
      </c>
      <c r="J151" s="916">
        <f t="shared" si="38"/>
        <v>85934.1249999999</v>
      </c>
    </row>
    <row r="152" customHeight="1" spans="1:10">
      <c r="A152" s="27">
        <v>14</v>
      </c>
      <c r="B152" s="11" t="s">
        <v>326</v>
      </c>
      <c r="C152" s="12" t="s">
        <v>327</v>
      </c>
      <c r="D152" s="15" t="s">
        <v>77</v>
      </c>
      <c r="E152" s="220">
        <v>308901.5</v>
      </c>
      <c r="F152" s="909">
        <v>246171.166666667</v>
      </c>
      <c r="G152" s="916">
        <v>0</v>
      </c>
      <c r="H152" s="916">
        <f t="shared" si="36"/>
        <v>6154.27916666668</v>
      </c>
      <c r="I152" s="916">
        <f t="shared" si="37"/>
        <v>6154.27916666668</v>
      </c>
      <c r="J152" s="916">
        <f t="shared" si="38"/>
        <v>73851.3500000001</v>
      </c>
    </row>
    <row r="153" customHeight="1" spans="1:10">
      <c r="A153" s="27">
        <v>15</v>
      </c>
      <c r="B153" s="11" t="s">
        <v>328</v>
      </c>
      <c r="C153" s="12" t="s">
        <v>329</v>
      </c>
      <c r="D153" s="10" t="s">
        <v>88</v>
      </c>
      <c r="E153" s="85">
        <v>270481.666666667</v>
      </c>
      <c r="F153" s="909">
        <v>222674.583333333</v>
      </c>
      <c r="G153" s="916">
        <v>0</v>
      </c>
      <c r="H153" s="916">
        <f t="shared" si="36"/>
        <v>5566.86458333332</v>
      </c>
      <c r="I153" s="916">
        <f t="shared" si="37"/>
        <v>5566.86458333332</v>
      </c>
      <c r="J153" s="916">
        <f t="shared" si="38"/>
        <v>66802.3749999999</v>
      </c>
    </row>
    <row r="154" customHeight="1" spans="1:10">
      <c r="A154" s="27">
        <v>16</v>
      </c>
      <c r="B154" s="11" t="s">
        <v>330</v>
      </c>
      <c r="C154" s="12" t="s">
        <v>565</v>
      </c>
      <c r="D154" s="15" t="s">
        <v>151</v>
      </c>
      <c r="E154" s="220">
        <v>316837.416666667</v>
      </c>
      <c r="F154" s="909">
        <v>308901.5</v>
      </c>
      <c r="G154" s="916">
        <v>0</v>
      </c>
      <c r="H154" s="916">
        <f t="shared" si="36"/>
        <v>7722.5375</v>
      </c>
      <c r="I154" s="916">
        <f t="shared" si="37"/>
        <v>7722.5375</v>
      </c>
      <c r="J154" s="916">
        <f t="shared" si="38"/>
        <v>92670.45</v>
      </c>
    </row>
    <row r="155" customHeight="1" spans="1:10">
      <c r="A155" s="27">
        <v>17</v>
      </c>
      <c r="B155" s="11" t="s">
        <v>332</v>
      </c>
      <c r="C155" s="12" t="s">
        <v>566</v>
      </c>
      <c r="D155" s="15" t="s">
        <v>85</v>
      </c>
      <c r="E155" s="220">
        <v>277798</v>
      </c>
      <c r="F155" s="909">
        <v>227615.75</v>
      </c>
      <c r="G155" s="916">
        <v>0</v>
      </c>
      <c r="H155" s="916">
        <f t="shared" si="36"/>
        <v>5690.39375</v>
      </c>
      <c r="I155" s="916">
        <f t="shared" si="37"/>
        <v>5690.39375</v>
      </c>
      <c r="J155" s="916">
        <f t="shared" si="38"/>
        <v>68284.725</v>
      </c>
    </row>
    <row r="156" customHeight="1" spans="1:10">
      <c r="A156" s="27">
        <v>18</v>
      </c>
      <c r="B156" s="11" t="s">
        <v>334</v>
      </c>
      <c r="C156" s="12" t="s">
        <v>567</v>
      </c>
      <c r="D156" s="15" t="s">
        <v>151</v>
      </c>
      <c r="E156" s="220">
        <v>316837.416666667</v>
      </c>
      <c r="F156" s="909">
        <v>308901.5</v>
      </c>
      <c r="G156" s="916">
        <v>4123.42083333333</v>
      </c>
      <c r="H156" s="916">
        <f t="shared" si="36"/>
        <v>7722.5375</v>
      </c>
      <c r="I156" s="916">
        <f t="shared" si="37"/>
        <v>3599.11666666667</v>
      </c>
      <c r="J156" s="916">
        <f t="shared" si="38"/>
        <v>92670.45</v>
      </c>
    </row>
    <row r="157" customHeight="1" spans="1:10">
      <c r="A157" s="27">
        <v>19</v>
      </c>
      <c r="B157" s="11" t="s">
        <v>335</v>
      </c>
      <c r="C157" s="12" t="s">
        <v>568</v>
      </c>
      <c r="D157" s="15" t="s">
        <v>85</v>
      </c>
      <c r="E157" s="220">
        <v>277798</v>
      </c>
      <c r="F157" s="909">
        <v>227615.75</v>
      </c>
      <c r="G157" s="916">
        <v>0</v>
      </c>
      <c r="H157" s="916">
        <f t="shared" ref="H157:H176" si="39">0.025*F157</f>
        <v>5690.39375</v>
      </c>
      <c r="I157" s="916">
        <f t="shared" si="37"/>
        <v>5690.39375</v>
      </c>
      <c r="J157" s="916">
        <f t="shared" si="38"/>
        <v>68284.725</v>
      </c>
    </row>
    <row r="158" customHeight="1" spans="1:10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09">
        <v>217733.416666667</v>
      </c>
      <c r="G158" s="916">
        <v>0</v>
      </c>
      <c r="H158" s="916">
        <f t="shared" si="39"/>
        <v>5443.33541666668</v>
      </c>
      <c r="I158" s="916">
        <f t="shared" si="37"/>
        <v>5443.33541666668</v>
      </c>
      <c r="J158" s="916">
        <f t="shared" si="38"/>
        <v>65320.0250000001</v>
      </c>
    </row>
    <row r="159" customHeight="1" spans="1:10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09">
        <v>217733.416666667</v>
      </c>
      <c r="G159" s="916">
        <v>0</v>
      </c>
      <c r="H159" s="916">
        <f t="shared" si="39"/>
        <v>5443.33541666668</v>
      </c>
      <c r="I159" s="916">
        <f t="shared" si="37"/>
        <v>5443.33541666668</v>
      </c>
      <c r="J159" s="916">
        <f t="shared" si="38"/>
        <v>65320.0250000001</v>
      </c>
    </row>
    <row r="160" customHeight="1" spans="1:10">
      <c r="A160" s="27">
        <v>22</v>
      </c>
      <c r="B160" s="18" t="s">
        <v>345</v>
      </c>
      <c r="C160" s="12" t="s">
        <v>346</v>
      </c>
      <c r="D160" s="15" t="s">
        <v>108</v>
      </c>
      <c r="E160" s="85">
        <v>230631.916666667</v>
      </c>
      <c r="F160" s="909">
        <v>196364.416666667</v>
      </c>
      <c r="G160" s="916">
        <v>0</v>
      </c>
      <c r="H160" s="916">
        <f t="shared" si="39"/>
        <v>4909.11041666668</v>
      </c>
      <c r="I160" s="916">
        <f t="shared" si="37"/>
        <v>4909.11041666668</v>
      </c>
      <c r="J160" s="916">
        <f t="shared" si="38"/>
        <v>58909.3250000001</v>
      </c>
    </row>
    <row r="161" customHeight="1" spans="1:10">
      <c r="A161" s="27">
        <v>23</v>
      </c>
      <c r="B161" s="18" t="s">
        <v>347</v>
      </c>
      <c r="C161" s="12" t="s">
        <v>348</v>
      </c>
      <c r="D161" s="15" t="s">
        <v>108</v>
      </c>
      <c r="E161" s="85">
        <v>230631.916666667</v>
      </c>
      <c r="F161" s="909">
        <v>196364.416666667</v>
      </c>
      <c r="G161" s="916">
        <v>0</v>
      </c>
      <c r="H161" s="916">
        <f t="shared" si="39"/>
        <v>4909.11041666668</v>
      </c>
      <c r="I161" s="916">
        <f t="shared" si="37"/>
        <v>4909.11041666668</v>
      </c>
      <c r="J161" s="916">
        <f t="shared" si="38"/>
        <v>58909.3250000001</v>
      </c>
    </row>
    <row r="162" customHeight="1" spans="1:10">
      <c r="A162" s="27">
        <v>24</v>
      </c>
      <c r="B162" s="18" t="s">
        <v>349</v>
      </c>
      <c r="C162" s="12" t="s">
        <v>350</v>
      </c>
      <c r="D162" s="15" t="s">
        <v>108</v>
      </c>
      <c r="E162" s="85">
        <v>230631.916666667</v>
      </c>
      <c r="F162" s="909">
        <v>196364.416666667</v>
      </c>
      <c r="G162" s="916">
        <v>0</v>
      </c>
      <c r="H162" s="916">
        <f t="shared" si="39"/>
        <v>4909.11041666668</v>
      </c>
      <c r="I162" s="916">
        <f t="shared" si="37"/>
        <v>4909.11041666668</v>
      </c>
      <c r="J162" s="916">
        <f t="shared" si="38"/>
        <v>58909.3250000001</v>
      </c>
    </row>
    <row r="163" customHeight="1" spans="1:10">
      <c r="A163" s="27">
        <v>25</v>
      </c>
      <c r="B163" s="18" t="s">
        <v>351</v>
      </c>
      <c r="C163" s="12" t="s">
        <v>569</v>
      </c>
      <c r="D163" s="15" t="s">
        <v>105</v>
      </c>
      <c r="E163" s="85">
        <v>236804.083333333</v>
      </c>
      <c r="F163" s="909">
        <v>200549.416666667</v>
      </c>
      <c r="G163" s="916">
        <v>0</v>
      </c>
      <c r="H163" s="916">
        <f t="shared" si="39"/>
        <v>5013.73541666668</v>
      </c>
      <c r="I163" s="916">
        <f t="shared" si="37"/>
        <v>5013.73541666668</v>
      </c>
      <c r="J163" s="916">
        <f t="shared" si="38"/>
        <v>60164.8250000001</v>
      </c>
    </row>
    <row r="164" customHeight="1" spans="1:10">
      <c r="A164" s="27">
        <v>26</v>
      </c>
      <c r="B164" s="18" t="s">
        <v>352</v>
      </c>
      <c r="C164" s="12" t="s">
        <v>348</v>
      </c>
      <c r="D164" s="15" t="s">
        <v>108</v>
      </c>
      <c r="E164" s="85">
        <v>230631.916666667</v>
      </c>
      <c r="F164" s="909">
        <v>196364.416666667</v>
      </c>
      <c r="G164" s="916">
        <v>0</v>
      </c>
      <c r="H164" s="916">
        <f t="shared" si="39"/>
        <v>4909.11041666668</v>
      </c>
      <c r="I164" s="916">
        <f t="shared" si="37"/>
        <v>4909.11041666668</v>
      </c>
      <c r="J164" s="916">
        <f t="shared" si="38"/>
        <v>58909.3250000001</v>
      </c>
    </row>
    <row r="165" customHeight="1" spans="1:10">
      <c r="A165" s="27">
        <v>27</v>
      </c>
      <c r="B165" s="18" t="s">
        <v>353</v>
      </c>
      <c r="C165" s="12" t="s">
        <v>354</v>
      </c>
      <c r="D165" s="15" t="s">
        <v>111</v>
      </c>
      <c r="E165" s="676">
        <v>224459.75</v>
      </c>
      <c r="F165" s="909">
        <v>192179.416666667</v>
      </c>
      <c r="G165" s="916"/>
      <c r="H165" s="916">
        <f t="shared" si="39"/>
        <v>4804.48541666668</v>
      </c>
      <c r="I165" s="916">
        <f t="shared" si="37"/>
        <v>4804.48541666668</v>
      </c>
      <c r="J165" s="916">
        <f t="shared" si="38"/>
        <v>57653.8250000001</v>
      </c>
    </row>
    <row r="166" customHeight="1" spans="1:10">
      <c r="A166" s="27">
        <v>28</v>
      </c>
      <c r="B166" s="18" t="s">
        <v>355</v>
      </c>
      <c r="C166" s="12" t="s">
        <v>354</v>
      </c>
      <c r="D166" s="15" t="s">
        <v>111</v>
      </c>
      <c r="E166" s="676">
        <v>224459.75</v>
      </c>
      <c r="F166" s="909">
        <v>192179.416666667</v>
      </c>
      <c r="G166" s="916"/>
      <c r="H166" s="916">
        <f t="shared" si="39"/>
        <v>4804.48541666668</v>
      </c>
      <c r="I166" s="916">
        <f t="shared" si="37"/>
        <v>4804.48541666668</v>
      </c>
      <c r="J166" s="916">
        <f t="shared" si="38"/>
        <v>57653.8250000001</v>
      </c>
    </row>
    <row r="167" customHeight="1" spans="1:10">
      <c r="A167" s="27">
        <v>29</v>
      </c>
      <c r="B167" s="11" t="s">
        <v>361</v>
      </c>
      <c r="C167" s="12" t="s">
        <v>362</v>
      </c>
      <c r="D167" s="15" t="s">
        <v>375</v>
      </c>
      <c r="E167" s="226">
        <v>173859.5</v>
      </c>
      <c r="F167" s="921">
        <v>159288.583333333</v>
      </c>
      <c r="G167" s="916">
        <v>2313.575</v>
      </c>
      <c r="H167" s="916">
        <f t="shared" si="39"/>
        <v>3982.21458333333</v>
      </c>
      <c r="I167" s="916">
        <f t="shared" si="37"/>
        <v>1668.63958333333</v>
      </c>
      <c r="J167" s="916">
        <f t="shared" si="38"/>
        <v>47786.5749999999</v>
      </c>
    </row>
    <row r="168" customHeight="1" spans="1:10">
      <c r="A168" s="27">
        <v>30</v>
      </c>
      <c r="B168" s="11" t="s">
        <v>364</v>
      </c>
      <c r="C168" s="12" t="s">
        <v>362</v>
      </c>
      <c r="D168" s="15" t="s">
        <v>375</v>
      </c>
      <c r="E168" s="226">
        <v>173859.5</v>
      </c>
      <c r="F168" s="921">
        <v>159288.583333333</v>
      </c>
      <c r="G168" s="916">
        <v>0</v>
      </c>
      <c r="H168" s="916">
        <f t="shared" si="39"/>
        <v>3982.21458333333</v>
      </c>
      <c r="I168" s="916">
        <f t="shared" si="37"/>
        <v>3982.21458333333</v>
      </c>
      <c r="J168" s="916">
        <f t="shared" si="38"/>
        <v>47786.5749999999</v>
      </c>
    </row>
    <row r="169" customHeight="1" spans="1:10">
      <c r="A169" s="27">
        <v>31</v>
      </c>
      <c r="B169" s="11" t="s">
        <v>570</v>
      </c>
      <c r="C169" s="12" t="s">
        <v>362</v>
      </c>
      <c r="D169" s="15" t="s">
        <v>375</v>
      </c>
      <c r="E169" s="226">
        <v>173859.5</v>
      </c>
      <c r="F169" s="921">
        <v>159288.583333333</v>
      </c>
      <c r="G169" s="916">
        <v>0</v>
      </c>
      <c r="H169" s="916">
        <f t="shared" si="39"/>
        <v>3982.21458333333</v>
      </c>
      <c r="I169" s="916">
        <f t="shared" si="37"/>
        <v>3982.21458333333</v>
      </c>
      <c r="J169" s="916">
        <f t="shared" si="38"/>
        <v>47786.5749999999</v>
      </c>
    </row>
    <row r="170" customHeight="1" spans="1:10">
      <c r="A170" s="27">
        <v>32</v>
      </c>
      <c r="B170" s="11" t="s">
        <v>365</v>
      </c>
      <c r="C170" s="12" t="s">
        <v>362</v>
      </c>
      <c r="D170" s="15" t="s">
        <v>375</v>
      </c>
      <c r="E170" s="226">
        <v>173859.5</v>
      </c>
      <c r="F170" s="921">
        <v>159288.583333333</v>
      </c>
      <c r="G170" s="916">
        <v>2313.575</v>
      </c>
      <c r="H170" s="916">
        <f t="shared" si="39"/>
        <v>3982.21458333333</v>
      </c>
      <c r="I170" s="916">
        <f t="shared" si="37"/>
        <v>1668.63958333333</v>
      </c>
      <c r="J170" s="916">
        <f t="shared" si="38"/>
        <v>47786.5749999999</v>
      </c>
    </row>
    <row r="171" customHeight="1" spans="1:10">
      <c r="A171" s="27">
        <v>33</v>
      </c>
      <c r="B171" s="11" t="s">
        <v>366</v>
      </c>
      <c r="C171" s="12" t="s">
        <v>362</v>
      </c>
      <c r="D171" s="15" t="s">
        <v>375</v>
      </c>
      <c r="E171" s="226">
        <v>173859.5</v>
      </c>
      <c r="F171" s="921">
        <v>159288.583333333</v>
      </c>
      <c r="G171" s="916"/>
      <c r="H171" s="916">
        <f t="shared" si="39"/>
        <v>3982.21458333333</v>
      </c>
      <c r="I171" s="916">
        <f t="shared" si="37"/>
        <v>3982.21458333333</v>
      </c>
      <c r="J171" s="916">
        <f t="shared" si="38"/>
        <v>47786.5749999999</v>
      </c>
    </row>
    <row r="172" customHeight="1" spans="1:10">
      <c r="A172" s="27">
        <v>34</v>
      </c>
      <c r="B172" s="11" t="s">
        <v>367</v>
      </c>
      <c r="C172" s="12" t="s">
        <v>362</v>
      </c>
      <c r="D172" s="15" t="s">
        <v>388</v>
      </c>
      <c r="E172" s="226">
        <v>168598.166666667</v>
      </c>
      <c r="F172" s="921">
        <v>155678.666666667</v>
      </c>
      <c r="G172" s="916"/>
      <c r="H172" s="916">
        <f t="shared" si="39"/>
        <v>3891.96666666668</v>
      </c>
      <c r="I172" s="916">
        <f t="shared" si="37"/>
        <v>3891.96666666668</v>
      </c>
      <c r="J172" s="916">
        <f t="shared" si="38"/>
        <v>46703.6000000001</v>
      </c>
    </row>
    <row r="173" customHeight="1" spans="1:10">
      <c r="A173" s="27">
        <v>35</v>
      </c>
      <c r="B173" s="11" t="s">
        <v>369</v>
      </c>
      <c r="C173" s="12" t="s">
        <v>362</v>
      </c>
      <c r="D173" s="15" t="s">
        <v>388</v>
      </c>
      <c r="E173" s="226">
        <v>168598.166666667</v>
      </c>
      <c r="F173" s="921">
        <v>155678.666666667</v>
      </c>
      <c r="G173" s="916"/>
      <c r="H173" s="916">
        <f t="shared" si="39"/>
        <v>3891.96666666668</v>
      </c>
      <c r="I173" s="916">
        <f t="shared" si="37"/>
        <v>3891.96666666668</v>
      </c>
      <c r="J173" s="916">
        <f t="shared" si="38"/>
        <v>46703.6000000001</v>
      </c>
    </row>
    <row r="174" customHeight="1" spans="1:10">
      <c r="A174" s="27">
        <v>36</v>
      </c>
      <c r="B174" s="14" t="s">
        <v>370</v>
      </c>
      <c r="C174" s="12" t="s">
        <v>362</v>
      </c>
      <c r="D174" s="15" t="s">
        <v>388</v>
      </c>
      <c r="E174" s="226">
        <v>168598.166666667</v>
      </c>
      <c r="F174" s="921">
        <v>155678.666666667</v>
      </c>
      <c r="G174" s="916"/>
      <c r="H174" s="916">
        <f t="shared" si="39"/>
        <v>3891.96666666668</v>
      </c>
      <c r="I174" s="916">
        <f t="shared" si="37"/>
        <v>3891.96666666668</v>
      </c>
      <c r="J174" s="916">
        <f t="shared" si="38"/>
        <v>46703.6000000001</v>
      </c>
    </row>
    <row r="175" customHeight="1" spans="1:10">
      <c r="A175" s="27">
        <v>37</v>
      </c>
      <c r="B175" s="11" t="s">
        <v>371</v>
      </c>
      <c r="C175" s="12" t="s">
        <v>362</v>
      </c>
      <c r="D175" s="15" t="s">
        <v>388</v>
      </c>
      <c r="E175" s="226">
        <v>168598.166666667</v>
      </c>
      <c r="F175" s="921">
        <v>155678.666666667</v>
      </c>
      <c r="G175" s="916"/>
      <c r="H175" s="916">
        <f t="shared" si="39"/>
        <v>3891.96666666668</v>
      </c>
      <c r="I175" s="916">
        <f t="shared" si="37"/>
        <v>3891.96666666668</v>
      </c>
      <c r="J175" s="916">
        <f t="shared" si="38"/>
        <v>46703.6000000001</v>
      </c>
    </row>
    <row r="176" customHeight="1" spans="1:10">
      <c r="A176" s="27">
        <v>38</v>
      </c>
      <c r="B176" s="18" t="s">
        <v>372</v>
      </c>
      <c r="C176" s="12" t="s">
        <v>362</v>
      </c>
      <c r="D176" s="15" t="s">
        <v>388</v>
      </c>
      <c r="E176" s="226">
        <v>168598.166666667</v>
      </c>
      <c r="F176" s="921">
        <v>155678.666666667</v>
      </c>
      <c r="G176" s="916"/>
      <c r="H176" s="916">
        <f t="shared" si="39"/>
        <v>3891.96666666668</v>
      </c>
      <c r="I176" s="916">
        <f t="shared" si="37"/>
        <v>3891.96666666668</v>
      </c>
      <c r="J176" s="916">
        <f t="shared" si="38"/>
        <v>46703.6000000001</v>
      </c>
    </row>
    <row r="177" customHeight="1" spans="1:10">
      <c r="A177" s="27">
        <v>39</v>
      </c>
      <c r="B177" s="18" t="s">
        <v>359</v>
      </c>
      <c r="C177" s="12" t="s">
        <v>362</v>
      </c>
      <c r="D177" s="15" t="s">
        <v>388</v>
      </c>
      <c r="E177" s="226">
        <v>168598.166666667</v>
      </c>
      <c r="F177" s="921">
        <v>155678.666666667</v>
      </c>
      <c r="G177" s="916"/>
      <c r="H177" s="916">
        <f t="shared" ref="H177:H198" si="40">0.025*F177</f>
        <v>3891.96666666668</v>
      </c>
      <c r="I177" s="916">
        <f t="shared" si="37"/>
        <v>3891.96666666668</v>
      </c>
      <c r="J177" s="916">
        <f t="shared" si="38"/>
        <v>46703.6000000001</v>
      </c>
    </row>
    <row r="178" customHeight="1" spans="1:10">
      <c r="A178" s="27">
        <v>40</v>
      </c>
      <c r="B178" s="11" t="s">
        <v>373</v>
      </c>
      <c r="C178" s="12" t="s">
        <v>374</v>
      </c>
      <c r="D178" s="15" t="s">
        <v>510</v>
      </c>
      <c r="E178" s="85">
        <v>158075.5</v>
      </c>
      <c r="F178" s="921">
        <v>148459</v>
      </c>
      <c r="G178" s="916"/>
      <c r="H178" s="916">
        <f t="shared" si="40"/>
        <v>3711.475</v>
      </c>
      <c r="I178" s="916">
        <f t="shared" si="37"/>
        <v>3711.475</v>
      </c>
      <c r="J178" s="916">
        <f t="shared" si="38"/>
        <v>44537.7</v>
      </c>
    </row>
    <row r="179" customHeight="1" spans="1:10">
      <c r="A179" s="27">
        <v>41</v>
      </c>
      <c r="B179" s="11" t="s">
        <v>376</v>
      </c>
      <c r="C179" s="12" t="s">
        <v>374</v>
      </c>
      <c r="D179" s="15" t="s">
        <v>510</v>
      </c>
      <c r="E179" s="85">
        <v>158075.5</v>
      </c>
      <c r="F179" s="921">
        <v>148459</v>
      </c>
      <c r="G179" s="916"/>
      <c r="H179" s="916">
        <f t="shared" si="40"/>
        <v>3711.475</v>
      </c>
      <c r="I179" s="916">
        <f t="shared" si="37"/>
        <v>3711.475</v>
      </c>
      <c r="J179" s="916">
        <f t="shared" si="38"/>
        <v>44537.7</v>
      </c>
    </row>
    <row r="180" customHeight="1" spans="1:10">
      <c r="A180" s="27">
        <v>42</v>
      </c>
      <c r="B180" s="18" t="s">
        <v>377</v>
      </c>
      <c r="C180" s="12" t="s">
        <v>374</v>
      </c>
      <c r="D180" s="15" t="s">
        <v>381</v>
      </c>
      <c r="E180" s="85">
        <v>163336.833333333</v>
      </c>
      <c r="F180" s="921">
        <v>152068.833333333</v>
      </c>
      <c r="G180" s="916"/>
      <c r="H180" s="916">
        <f t="shared" si="40"/>
        <v>3801.72083333333</v>
      </c>
      <c r="I180" s="916">
        <f t="shared" si="37"/>
        <v>3801.72083333333</v>
      </c>
      <c r="J180" s="916">
        <f t="shared" si="38"/>
        <v>45620.6499999999</v>
      </c>
    </row>
    <row r="181" customHeight="1" spans="1:10">
      <c r="A181" s="27">
        <v>43</v>
      </c>
      <c r="B181" s="11" t="s">
        <v>379</v>
      </c>
      <c r="C181" s="12" t="s">
        <v>393</v>
      </c>
      <c r="D181" s="15" t="s">
        <v>511</v>
      </c>
      <c r="E181" s="85">
        <v>152814.166666667</v>
      </c>
      <c r="F181" s="921">
        <v>144849.083333333</v>
      </c>
      <c r="G181" s="916"/>
      <c r="H181" s="916">
        <f t="shared" si="40"/>
        <v>3621.22708333333</v>
      </c>
      <c r="I181" s="916">
        <f t="shared" si="37"/>
        <v>3621.22708333333</v>
      </c>
      <c r="J181" s="916">
        <f t="shared" si="38"/>
        <v>43454.7249999999</v>
      </c>
    </row>
    <row r="182" customHeight="1" spans="1:10">
      <c r="A182" s="27">
        <v>44</v>
      </c>
      <c r="B182" s="11" t="s">
        <v>382</v>
      </c>
      <c r="C182" s="12" t="s">
        <v>390</v>
      </c>
      <c r="D182" s="15" t="s">
        <v>571</v>
      </c>
      <c r="E182" s="85">
        <v>94145.75</v>
      </c>
      <c r="F182" s="921">
        <v>101053.25</v>
      </c>
      <c r="G182" s="916"/>
      <c r="H182" s="916">
        <f t="shared" si="40"/>
        <v>2526.33125</v>
      </c>
      <c r="I182" s="916">
        <f t="shared" si="37"/>
        <v>2526.33125</v>
      </c>
      <c r="J182" s="916">
        <f t="shared" si="38"/>
        <v>30315.975</v>
      </c>
    </row>
    <row r="183" customHeight="1" spans="1:10">
      <c r="A183" s="27">
        <v>45</v>
      </c>
      <c r="B183" s="11" t="s">
        <v>383</v>
      </c>
      <c r="C183" s="12" t="s">
        <v>390</v>
      </c>
      <c r="D183" s="15" t="s">
        <v>571</v>
      </c>
      <c r="E183" s="85">
        <v>94145.75</v>
      </c>
      <c r="F183" s="921">
        <v>101053.25</v>
      </c>
      <c r="G183" s="916"/>
      <c r="H183" s="916">
        <f t="shared" si="40"/>
        <v>2526.33125</v>
      </c>
      <c r="I183" s="916">
        <f t="shared" si="37"/>
        <v>2526.33125</v>
      </c>
      <c r="J183" s="916">
        <f t="shared" si="38"/>
        <v>30315.975</v>
      </c>
    </row>
    <row r="184" customHeight="1" spans="1:10">
      <c r="A184" s="27">
        <v>46</v>
      </c>
      <c r="B184" s="11" t="s">
        <v>384</v>
      </c>
      <c r="C184" s="12" t="s">
        <v>390</v>
      </c>
      <c r="D184" s="15" t="s">
        <v>571</v>
      </c>
      <c r="E184" s="85">
        <v>94145.75</v>
      </c>
      <c r="F184" s="921">
        <v>101053.25</v>
      </c>
      <c r="G184" s="916"/>
      <c r="H184" s="916">
        <f t="shared" si="40"/>
        <v>2526.33125</v>
      </c>
      <c r="I184" s="916">
        <f t="shared" si="37"/>
        <v>2526.33125</v>
      </c>
      <c r="J184" s="916">
        <f t="shared" si="38"/>
        <v>30315.975</v>
      </c>
    </row>
    <row r="185" customHeight="1" spans="1:10">
      <c r="A185" s="27">
        <v>47</v>
      </c>
      <c r="B185" s="11" t="s">
        <v>385</v>
      </c>
      <c r="C185" s="12" t="s">
        <v>390</v>
      </c>
      <c r="D185" s="15" t="s">
        <v>571</v>
      </c>
      <c r="E185" s="85">
        <v>94145.75</v>
      </c>
      <c r="F185" s="921">
        <v>101053.25</v>
      </c>
      <c r="G185" s="916"/>
      <c r="H185" s="916">
        <f t="shared" si="40"/>
        <v>2526.33125</v>
      </c>
      <c r="I185" s="916">
        <f t="shared" si="37"/>
        <v>2526.33125</v>
      </c>
      <c r="J185" s="916">
        <f t="shared" si="38"/>
        <v>30315.975</v>
      </c>
    </row>
    <row r="186" customHeight="1" spans="1:10">
      <c r="A186" s="27">
        <v>48</v>
      </c>
      <c r="B186" s="11" t="s">
        <v>386</v>
      </c>
      <c r="C186" s="12" t="s">
        <v>390</v>
      </c>
      <c r="D186" s="15" t="s">
        <v>571</v>
      </c>
      <c r="E186" s="85">
        <v>94145.75</v>
      </c>
      <c r="F186" s="921">
        <v>101053.25</v>
      </c>
      <c r="G186" s="916"/>
      <c r="H186" s="916">
        <f t="shared" si="40"/>
        <v>2526.33125</v>
      </c>
      <c r="I186" s="916">
        <f t="shared" si="37"/>
        <v>2526.33125</v>
      </c>
      <c r="J186" s="916">
        <f t="shared" si="38"/>
        <v>30315.975</v>
      </c>
    </row>
    <row r="187" customHeight="1" spans="1:10">
      <c r="A187" s="27">
        <v>49</v>
      </c>
      <c r="B187" s="18" t="s">
        <v>387</v>
      </c>
      <c r="C187" s="12" t="s">
        <v>390</v>
      </c>
      <c r="D187" s="15" t="s">
        <v>571</v>
      </c>
      <c r="E187" s="85">
        <v>94145.75</v>
      </c>
      <c r="F187" s="921">
        <v>101053.25</v>
      </c>
      <c r="G187" s="916"/>
      <c r="H187" s="916">
        <f t="shared" si="40"/>
        <v>2526.33125</v>
      </c>
      <c r="I187" s="916">
        <f t="shared" si="37"/>
        <v>2526.33125</v>
      </c>
      <c r="J187" s="916">
        <f t="shared" si="38"/>
        <v>30315.975</v>
      </c>
    </row>
    <row r="188" customHeight="1" spans="1:10">
      <c r="A188" s="27">
        <v>50</v>
      </c>
      <c r="B188" s="18" t="s">
        <v>389</v>
      </c>
      <c r="C188" s="12" t="s">
        <v>390</v>
      </c>
      <c r="D188" s="15" t="s">
        <v>571</v>
      </c>
      <c r="E188" s="85">
        <v>94145.75</v>
      </c>
      <c r="F188" s="921">
        <v>101053.25</v>
      </c>
      <c r="G188" s="916"/>
      <c r="H188" s="916">
        <f t="shared" si="40"/>
        <v>2526.33125</v>
      </c>
      <c r="I188" s="916">
        <f t="shared" si="37"/>
        <v>2526.33125</v>
      </c>
      <c r="J188" s="916">
        <f t="shared" si="38"/>
        <v>30315.975</v>
      </c>
    </row>
    <row r="189" customHeight="1" spans="1:10">
      <c r="A189" s="27">
        <v>51</v>
      </c>
      <c r="B189" s="11" t="s">
        <v>572</v>
      </c>
      <c r="C189" s="12" t="s">
        <v>393</v>
      </c>
      <c r="D189" s="15" t="s">
        <v>571</v>
      </c>
      <c r="E189" s="85">
        <v>94145.75</v>
      </c>
      <c r="F189" s="921">
        <v>101053.25</v>
      </c>
      <c r="G189" s="916"/>
      <c r="H189" s="916">
        <f t="shared" si="40"/>
        <v>2526.33125</v>
      </c>
      <c r="I189" s="916">
        <f t="shared" si="37"/>
        <v>2526.33125</v>
      </c>
      <c r="J189" s="916">
        <f t="shared" si="38"/>
        <v>30315.975</v>
      </c>
    </row>
    <row r="190" customHeight="1" spans="1:10">
      <c r="A190" s="27">
        <v>52</v>
      </c>
      <c r="B190" s="11" t="s">
        <v>392</v>
      </c>
      <c r="C190" s="12" t="s">
        <v>393</v>
      </c>
      <c r="D190" s="15" t="s">
        <v>571</v>
      </c>
      <c r="E190" s="85">
        <v>94145.75</v>
      </c>
      <c r="F190" s="921">
        <v>101053.25</v>
      </c>
      <c r="G190" s="916"/>
      <c r="H190" s="916">
        <f t="shared" si="40"/>
        <v>2526.33125</v>
      </c>
      <c r="I190" s="916">
        <f t="shared" si="37"/>
        <v>2526.33125</v>
      </c>
      <c r="J190" s="916">
        <f t="shared" si="38"/>
        <v>30315.975</v>
      </c>
    </row>
    <row r="191" customHeight="1" spans="1:10">
      <c r="A191" s="27">
        <v>53</v>
      </c>
      <c r="B191" s="18" t="s">
        <v>360</v>
      </c>
      <c r="C191" s="12" t="s">
        <v>395</v>
      </c>
      <c r="D191" s="15" t="s">
        <v>573</v>
      </c>
      <c r="E191" s="85">
        <v>91598</v>
      </c>
      <c r="F191" s="921">
        <v>99486.9166666667</v>
      </c>
      <c r="G191" s="916"/>
      <c r="H191" s="916">
        <f t="shared" si="40"/>
        <v>2487.17291666667</v>
      </c>
      <c r="I191" s="916">
        <f t="shared" si="37"/>
        <v>2487.17291666667</v>
      </c>
      <c r="J191" s="916">
        <f t="shared" si="38"/>
        <v>29846.075</v>
      </c>
    </row>
    <row r="192" customHeight="1" spans="1:10">
      <c r="A192" s="27">
        <v>54</v>
      </c>
      <c r="B192" s="18" t="s">
        <v>394</v>
      </c>
      <c r="C192" s="12" t="s">
        <v>395</v>
      </c>
      <c r="D192" s="15" t="s">
        <v>398</v>
      </c>
      <c r="E192" s="85">
        <v>86502.5</v>
      </c>
      <c r="F192" s="921">
        <v>96354.25</v>
      </c>
      <c r="G192" s="916"/>
      <c r="H192" s="916">
        <f t="shared" si="40"/>
        <v>2408.85625</v>
      </c>
      <c r="I192" s="916">
        <f t="shared" si="37"/>
        <v>2408.85625</v>
      </c>
      <c r="J192" s="916">
        <f t="shared" si="38"/>
        <v>28906.275</v>
      </c>
    </row>
    <row r="193" customHeight="1" spans="1:10">
      <c r="A193" s="27">
        <v>55</v>
      </c>
      <c r="B193" s="18" t="s">
        <v>397</v>
      </c>
      <c r="C193" s="12" t="s">
        <v>395</v>
      </c>
      <c r="D193" s="15" t="s">
        <v>400</v>
      </c>
      <c r="E193" s="85">
        <v>83933</v>
      </c>
      <c r="F193" s="921">
        <v>94788.1666666667</v>
      </c>
      <c r="G193" s="916"/>
      <c r="H193" s="916">
        <f t="shared" si="40"/>
        <v>2369.70416666667</v>
      </c>
      <c r="I193" s="916">
        <f t="shared" si="37"/>
        <v>2369.70416666667</v>
      </c>
      <c r="J193" s="916">
        <f t="shared" si="38"/>
        <v>28436.45</v>
      </c>
    </row>
    <row r="194" customHeight="1" spans="1:10">
      <c r="A194" s="27">
        <v>56</v>
      </c>
      <c r="B194" s="18" t="s">
        <v>401</v>
      </c>
      <c r="C194" s="12" t="s">
        <v>402</v>
      </c>
      <c r="D194" s="15" t="s">
        <v>513</v>
      </c>
      <c r="E194" s="85">
        <v>78733.8333333333</v>
      </c>
      <c r="F194" s="909">
        <v>91578.25</v>
      </c>
      <c r="G194" s="916"/>
      <c r="H194" s="916">
        <f t="shared" si="40"/>
        <v>2289.45625</v>
      </c>
      <c r="I194" s="916">
        <f t="shared" si="37"/>
        <v>2289.45625</v>
      </c>
      <c r="J194" s="916">
        <f t="shared" si="38"/>
        <v>27473.475</v>
      </c>
    </row>
    <row r="195" customHeight="1" spans="1:10">
      <c r="A195" s="27">
        <v>57</v>
      </c>
      <c r="B195" s="18" t="s">
        <v>404</v>
      </c>
      <c r="C195" s="12" t="s">
        <v>402</v>
      </c>
      <c r="D195" s="15" t="s">
        <v>513</v>
      </c>
      <c r="E195" s="85">
        <v>78733.8333333333</v>
      </c>
      <c r="F195" s="909">
        <v>91578.25</v>
      </c>
      <c r="G195" s="916"/>
      <c r="H195" s="916">
        <f t="shared" si="40"/>
        <v>2289.45625</v>
      </c>
      <c r="I195" s="916">
        <f t="shared" si="37"/>
        <v>2289.45625</v>
      </c>
      <c r="J195" s="916">
        <f t="shared" si="38"/>
        <v>27473.475</v>
      </c>
    </row>
    <row r="196" customHeight="1" spans="1:10">
      <c r="A196" s="27">
        <v>58</v>
      </c>
      <c r="B196" s="18" t="s">
        <v>405</v>
      </c>
      <c r="C196" s="12" t="s">
        <v>402</v>
      </c>
      <c r="D196" s="15" t="s">
        <v>513</v>
      </c>
      <c r="E196" s="85">
        <v>78733.8333333333</v>
      </c>
      <c r="F196" s="909">
        <v>91578.25</v>
      </c>
      <c r="G196" s="916"/>
      <c r="H196" s="916">
        <f t="shared" si="40"/>
        <v>2289.45625</v>
      </c>
      <c r="I196" s="916">
        <f t="shared" si="37"/>
        <v>2289.45625</v>
      </c>
      <c r="J196" s="916">
        <f t="shared" si="38"/>
        <v>27473.475</v>
      </c>
    </row>
    <row r="197" customHeight="1" spans="1:10">
      <c r="A197" s="27">
        <v>59</v>
      </c>
      <c r="B197" s="18" t="s">
        <v>406</v>
      </c>
      <c r="C197" s="12" t="s">
        <v>407</v>
      </c>
      <c r="D197" s="15" t="s">
        <v>396</v>
      </c>
      <c r="E197" s="85">
        <v>89050.25</v>
      </c>
      <c r="F197" s="909">
        <v>97920.6666666667</v>
      </c>
      <c r="G197" s="916"/>
      <c r="H197" s="916">
        <f t="shared" si="40"/>
        <v>2448.01666666667</v>
      </c>
      <c r="I197" s="916">
        <f t="shared" si="37"/>
        <v>2448.01666666667</v>
      </c>
      <c r="J197" s="916">
        <f t="shared" si="38"/>
        <v>29376.2</v>
      </c>
    </row>
    <row r="198" customHeight="1" spans="1:10">
      <c r="A198" s="27">
        <v>60</v>
      </c>
      <c r="B198" s="18" t="s">
        <v>409</v>
      </c>
      <c r="C198" s="12" t="s">
        <v>407</v>
      </c>
      <c r="D198" s="15" t="s">
        <v>396</v>
      </c>
      <c r="E198" s="85">
        <v>89050.25</v>
      </c>
      <c r="F198" s="909">
        <v>97920.6666666667</v>
      </c>
      <c r="G198" s="916"/>
      <c r="H198" s="916">
        <f t="shared" si="40"/>
        <v>2448.01666666667</v>
      </c>
      <c r="I198" s="916">
        <f t="shared" si="37"/>
        <v>2448.01666666667</v>
      </c>
      <c r="J198" s="916">
        <f t="shared" si="38"/>
        <v>29376.2</v>
      </c>
    </row>
    <row r="199" ht="30.75" customHeight="1" spans="1:10">
      <c r="A199" s="27"/>
      <c r="B199" s="8" t="s">
        <v>120</v>
      </c>
      <c r="C199" s="28" t="s">
        <v>574</v>
      </c>
      <c r="D199" s="29"/>
      <c r="E199" s="93">
        <f t="shared" ref="E199:J199" si="41">SUM(E139:E198)</f>
        <v>14787756.9166667</v>
      </c>
      <c r="F199" s="912">
        <f t="shared" si="41"/>
        <v>12563688.5</v>
      </c>
      <c r="G199" s="93">
        <f t="shared" si="41"/>
        <v>72300.4916666667</v>
      </c>
      <c r="H199" s="93">
        <f t="shared" si="41"/>
        <v>314092.2125</v>
      </c>
      <c r="I199" s="93">
        <f t="shared" si="41"/>
        <v>241791.720833333</v>
      </c>
      <c r="J199" s="93">
        <f t="shared" si="41"/>
        <v>3769106.55</v>
      </c>
    </row>
    <row r="200" ht="30" customHeight="1" spans="1:10">
      <c r="A200" s="4"/>
      <c r="B200" s="30" t="s">
        <v>575</v>
      </c>
      <c r="C200" s="31">
        <f>C39+C46+C57+C62+C72+C81+C94+C102+C112+C123+C136+C199</f>
        <v>153</v>
      </c>
      <c r="D200" s="32"/>
      <c r="E200" s="227">
        <f t="shared" ref="E200:J200" si="42">E199+E136+E123+E118+E112+E102+E94+E81+E72+E62+E57+E46+E39</f>
        <v>62694852.3336667</v>
      </c>
      <c r="F200" s="923">
        <f t="shared" si="42"/>
        <v>49444664.75</v>
      </c>
      <c r="G200" s="227">
        <f t="shared" si="42"/>
        <v>267480.25625</v>
      </c>
      <c r="H200" s="227">
        <f t="shared" si="42"/>
        <v>1181213.71666667</v>
      </c>
      <c r="I200" s="924">
        <f t="shared" si="42"/>
        <v>913733.460416666</v>
      </c>
      <c r="J200" s="227">
        <f t="shared" si="42"/>
        <v>9377520.05</v>
      </c>
    </row>
    <row r="201" s="1" customFormat="1" ht="35.25" customHeight="1" spans="1:7">
      <c r="A201" s="4"/>
      <c r="B201" s="30" t="s">
        <v>576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577</v>
      </c>
      <c r="C202" s="31">
        <f>SUM(C200:C201)</f>
        <v>175</v>
      </c>
      <c r="D202" s="32"/>
      <c r="E202" s="227">
        <f t="shared" ref="E202:J202" si="43">E200+E201</f>
        <v>69258581.5836667</v>
      </c>
      <c r="F202" s="227">
        <f t="shared" si="43"/>
        <v>54790759.5833333</v>
      </c>
      <c r="G202" s="227">
        <f t="shared" si="43"/>
        <v>267480.25625</v>
      </c>
      <c r="H202" s="227">
        <f t="shared" si="43"/>
        <v>1181213.71666667</v>
      </c>
      <c r="I202" s="227">
        <f t="shared" si="43"/>
        <v>913733.460416666</v>
      </c>
      <c r="J202" s="227">
        <f t="shared" si="43"/>
        <v>9377520.05</v>
      </c>
    </row>
    <row r="203" customHeight="1" spans="6:10">
      <c r="F203" s="1"/>
      <c r="G203" s="13"/>
      <c r="H203" s="13"/>
      <c r="I203" s="13"/>
      <c r="J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view="pageBreakPreview" zoomScaleNormal="100" workbookViewId="0">
      <selection activeCell="N4" sqref="N4"/>
    </sheetView>
  </sheetViews>
  <sheetFormatPr defaultColWidth="8.72727272727273" defaultRowHeight="13"/>
  <cols>
    <col min="1" max="1" width="3.36363636363636" style="263" customWidth="1"/>
    <col min="2" max="2" width="25.8181818181818" style="263" customWidth="1"/>
    <col min="3" max="3" width="13.3636363636364" style="263" customWidth="1"/>
    <col min="4" max="4" width="7.90909090909091" style="263" customWidth="1"/>
    <col min="5" max="5" width="6.90909090909091" style="263" customWidth="1"/>
    <col min="6" max="6" width="11.8181818181818" style="263" customWidth="1"/>
    <col min="7" max="7" width="12.4545454545455" style="263" customWidth="1"/>
    <col min="8" max="8" width="10.2727272727273" style="263" customWidth="1"/>
    <col min="9" max="9" width="12.9090909090909" style="263" customWidth="1"/>
    <col min="10" max="10" width="7" style="263" customWidth="1"/>
    <col min="11" max="11" width="12" style="263" customWidth="1"/>
    <col min="12" max="16374" width="8.72727272727273" style="263"/>
    <col min="16379" max="16384" width="8.72727272727273" style="263"/>
  </cols>
  <sheetData>
    <row r="1" ht="17.5" spans="1:11">
      <c r="A1" s="989" t="s">
        <v>578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</row>
    <row r="2" ht="17.5" spans="1:11">
      <c r="A2" s="989" t="s">
        <v>579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</row>
    <row r="3" ht="8" customHeight="1" spans="1:11">
      <c r="A3" s="753"/>
      <c r="B3" s="753"/>
      <c r="C3" s="753"/>
      <c r="D3" s="753"/>
      <c r="E3" s="753"/>
      <c r="F3" s="753"/>
      <c r="G3" s="753"/>
      <c r="H3" s="753"/>
      <c r="I3" s="1009"/>
      <c r="J3" s="1009"/>
      <c r="K3" s="1009"/>
    </row>
    <row r="4" ht="41" customHeight="1" spans="1:11">
      <c r="A4" s="754" t="s">
        <v>580</v>
      </c>
      <c r="B4" s="990" t="s">
        <v>581</v>
      </c>
      <c r="C4" s="990" t="s">
        <v>582</v>
      </c>
      <c r="D4" s="990" t="s">
        <v>583</v>
      </c>
      <c r="E4" s="990" t="s">
        <v>584</v>
      </c>
      <c r="F4" s="990" t="s">
        <v>585</v>
      </c>
      <c r="G4" s="990" t="s">
        <v>586</v>
      </c>
      <c r="H4" s="990" t="s">
        <v>587</v>
      </c>
      <c r="I4" s="990" t="s">
        <v>588</v>
      </c>
      <c r="J4" s="990" t="s">
        <v>589</v>
      </c>
      <c r="K4" s="990" t="s">
        <v>590</v>
      </c>
    </row>
    <row r="5" ht="14" spans="1:11">
      <c r="A5" s="754"/>
      <c r="B5" s="998"/>
      <c r="C5" s="999"/>
      <c r="D5" s="999"/>
      <c r="E5" s="999"/>
      <c r="F5" s="1000" t="s">
        <v>20</v>
      </c>
      <c r="G5" s="1000" t="s">
        <v>20</v>
      </c>
      <c r="H5" s="1000" t="s">
        <v>20</v>
      </c>
      <c r="I5" s="1000"/>
      <c r="J5" s="1000"/>
      <c r="K5" s="1000" t="s">
        <v>20</v>
      </c>
    </row>
    <row r="6" ht="30" customHeight="1" spans="1:11">
      <c r="A6" s="760">
        <v>1</v>
      </c>
      <c r="B6" s="1001" t="s">
        <v>619</v>
      </c>
      <c r="C6" s="1002" t="s">
        <v>620</v>
      </c>
      <c r="D6" s="1003" t="s">
        <v>621</v>
      </c>
      <c r="E6" s="1001" t="s">
        <v>622</v>
      </c>
      <c r="F6" s="1004">
        <v>659657</v>
      </c>
      <c r="G6" s="1004">
        <v>780713.916666666</v>
      </c>
      <c r="H6" s="1004">
        <f>G6-F6</f>
        <v>121056.916666666</v>
      </c>
      <c r="I6" s="829" t="s">
        <v>623</v>
      </c>
      <c r="J6" s="1010">
        <f>14/30</f>
        <v>0.466666666666667</v>
      </c>
      <c r="K6" s="1004">
        <f>J6*H6</f>
        <v>56493.2277777775</v>
      </c>
    </row>
    <row r="7" ht="30" customHeight="1" spans="1:11">
      <c r="A7" s="760">
        <v>2</v>
      </c>
      <c r="B7" s="1001" t="s">
        <v>624</v>
      </c>
      <c r="C7" s="1002" t="s">
        <v>625</v>
      </c>
      <c r="D7" s="1005" t="s">
        <v>621</v>
      </c>
      <c r="E7" s="1001" t="s">
        <v>622</v>
      </c>
      <c r="F7" s="1004">
        <v>659657</v>
      </c>
      <c r="G7" s="1004">
        <v>780713.916666666</v>
      </c>
      <c r="H7" s="1004">
        <f t="shared" ref="H7:H32" si="0">G7-F7</f>
        <v>121056.916666666</v>
      </c>
      <c r="I7" s="829" t="s">
        <v>623</v>
      </c>
      <c r="J7" s="1010">
        <f>14/30</f>
        <v>0.466666666666667</v>
      </c>
      <c r="K7" s="1004">
        <f t="shared" ref="K7:K31" si="1">J7*H7</f>
        <v>56493.2277777775</v>
      </c>
    </row>
    <row r="8" ht="30" customHeight="1" spans="1:11">
      <c r="A8" s="760">
        <v>3</v>
      </c>
      <c r="B8" s="1001" t="s">
        <v>626</v>
      </c>
      <c r="C8" s="1002" t="s">
        <v>458</v>
      </c>
      <c r="D8" s="1005" t="s">
        <v>627</v>
      </c>
      <c r="E8" s="1001" t="s">
        <v>628</v>
      </c>
      <c r="F8" s="1004">
        <v>661351.333333333</v>
      </c>
      <c r="G8" s="1004">
        <f>542419.5+140000</f>
        <v>682419.5</v>
      </c>
      <c r="H8" s="1004">
        <f t="shared" si="0"/>
        <v>21068.166666667</v>
      </c>
      <c r="I8" s="1002" t="s">
        <v>629</v>
      </c>
      <c r="J8" s="1010">
        <f>2+(19/31)</f>
        <v>2.61290322580645</v>
      </c>
      <c r="K8" s="1004">
        <f t="shared" si="1"/>
        <v>55049.0806451621</v>
      </c>
    </row>
    <row r="9" ht="30" customHeight="1" spans="1:11">
      <c r="A9" s="760">
        <v>4</v>
      </c>
      <c r="B9" s="1001" t="s">
        <v>630</v>
      </c>
      <c r="C9" s="1002" t="s">
        <v>631</v>
      </c>
      <c r="D9" s="1006" t="s">
        <v>632</v>
      </c>
      <c r="E9" s="1001" t="s">
        <v>633</v>
      </c>
      <c r="F9" s="1004">
        <f>692662.666666667</f>
        <v>692662.666666667</v>
      </c>
      <c r="G9" s="1004">
        <f>552846.583333333+150000</f>
        <v>702846.583333333</v>
      </c>
      <c r="H9" s="1004">
        <f t="shared" si="0"/>
        <v>10183.916666666</v>
      </c>
      <c r="I9" s="829" t="s">
        <v>595</v>
      </c>
      <c r="J9" s="1010">
        <f t="shared" ref="J9:J12" si="2">1+(26/31)</f>
        <v>1.83870967741935</v>
      </c>
      <c r="K9" s="1004">
        <f t="shared" si="1"/>
        <v>18725.2661290311</v>
      </c>
    </row>
    <row r="10" ht="30" customHeight="1" spans="1:11">
      <c r="A10" s="760">
        <v>5</v>
      </c>
      <c r="B10" s="827" t="s">
        <v>634</v>
      </c>
      <c r="C10" s="1002" t="s">
        <v>635</v>
      </c>
      <c r="D10" s="1006" t="s">
        <v>632</v>
      </c>
      <c r="E10" s="1001" t="s">
        <v>633</v>
      </c>
      <c r="F10" s="1004">
        <v>542662.666666667</v>
      </c>
      <c r="G10" s="1004">
        <v>552846.583333333</v>
      </c>
      <c r="H10" s="1004">
        <f t="shared" si="0"/>
        <v>10183.916666666</v>
      </c>
      <c r="I10" s="759" t="s">
        <v>636</v>
      </c>
      <c r="J10" s="1010">
        <f>2+(23/31)</f>
        <v>2.74193548387097</v>
      </c>
      <c r="K10" s="1004">
        <f t="shared" si="1"/>
        <v>27923.6424731166</v>
      </c>
    </row>
    <row r="11" ht="30" customHeight="1" spans="1:11">
      <c r="A11" s="760">
        <v>6</v>
      </c>
      <c r="B11" s="1001" t="s">
        <v>637</v>
      </c>
      <c r="C11" s="1002" t="s">
        <v>638</v>
      </c>
      <c r="D11" s="1005" t="s">
        <v>632</v>
      </c>
      <c r="E11" s="1001" t="s">
        <v>633</v>
      </c>
      <c r="F11" s="1004">
        <v>542662.666666667</v>
      </c>
      <c r="G11" s="1004">
        <v>552846.583333333</v>
      </c>
      <c r="H11" s="1004">
        <f t="shared" si="0"/>
        <v>10183.916666666</v>
      </c>
      <c r="I11" s="829" t="s">
        <v>595</v>
      </c>
      <c r="J11" s="1010">
        <f t="shared" si="2"/>
        <v>1.83870967741935</v>
      </c>
      <c r="K11" s="1004">
        <f t="shared" si="1"/>
        <v>18725.2661290311</v>
      </c>
    </row>
    <row r="12" ht="30" customHeight="1" spans="1:11">
      <c r="A12" s="760">
        <v>7</v>
      </c>
      <c r="B12" s="1001" t="s">
        <v>639</v>
      </c>
      <c r="C12" s="1002" t="s">
        <v>640</v>
      </c>
      <c r="D12" s="1005" t="s">
        <v>641</v>
      </c>
      <c r="E12" s="1001" t="s">
        <v>642</v>
      </c>
      <c r="F12" s="1004">
        <f>806497.166666667</f>
        <v>806497.166666667</v>
      </c>
      <c r="G12" s="1004">
        <f>567472.75+250000</f>
        <v>817472.75</v>
      </c>
      <c r="H12" s="1004">
        <f t="shared" si="0"/>
        <v>10975.583333333</v>
      </c>
      <c r="I12" s="829" t="s">
        <v>595</v>
      </c>
      <c r="J12" s="1010">
        <f t="shared" si="2"/>
        <v>1.83870967741935</v>
      </c>
      <c r="K12" s="1004">
        <f t="shared" si="1"/>
        <v>20180.911290322</v>
      </c>
    </row>
    <row r="13" ht="30" customHeight="1" spans="1:11">
      <c r="A13" s="760">
        <v>8</v>
      </c>
      <c r="B13" s="1001" t="s">
        <v>643</v>
      </c>
      <c r="C13" s="1002" t="s">
        <v>644</v>
      </c>
      <c r="D13" s="1005" t="s">
        <v>632</v>
      </c>
      <c r="E13" s="1001" t="s">
        <v>633</v>
      </c>
      <c r="F13" s="1004">
        <v>592662.666666667</v>
      </c>
      <c r="G13" s="1004">
        <v>602846.583333333</v>
      </c>
      <c r="H13" s="1004">
        <f t="shared" si="0"/>
        <v>10183.916666666</v>
      </c>
      <c r="I13" s="829" t="s">
        <v>645</v>
      </c>
      <c r="J13" s="1010">
        <f>1+23/31</f>
        <v>1.74193548387097</v>
      </c>
      <c r="K13" s="1004">
        <f t="shared" si="1"/>
        <v>17739.7258064506</v>
      </c>
    </row>
    <row r="14" ht="30" customHeight="1" spans="1:11">
      <c r="A14" s="760">
        <v>9</v>
      </c>
      <c r="B14" s="1001" t="s">
        <v>646</v>
      </c>
      <c r="C14" s="1002" t="s">
        <v>647</v>
      </c>
      <c r="D14" s="1005" t="s">
        <v>648</v>
      </c>
      <c r="E14" s="1001" t="s">
        <v>649</v>
      </c>
      <c r="F14" s="1004">
        <v>459131.166666667</v>
      </c>
      <c r="G14" s="1004">
        <v>501159</v>
      </c>
      <c r="H14" s="1004">
        <f t="shared" si="0"/>
        <v>42027.833333333</v>
      </c>
      <c r="I14" s="1002" t="s">
        <v>650</v>
      </c>
      <c r="J14" s="1010">
        <v>3</v>
      </c>
      <c r="K14" s="1004">
        <f t="shared" si="1"/>
        <v>126083.499999999</v>
      </c>
    </row>
    <row r="15" ht="30" customHeight="1" spans="1:11">
      <c r="A15" s="760">
        <v>10</v>
      </c>
      <c r="B15" s="1001" t="s">
        <v>651</v>
      </c>
      <c r="C15" s="1002" t="s">
        <v>652</v>
      </c>
      <c r="D15" s="1006" t="s">
        <v>653</v>
      </c>
      <c r="E15" s="1001" t="s">
        <v>649</v>
      </c>
      <c r="F15" s="1004">
        <v>450135.833333334</v>
      </c>
      <c r="G15" s="1004">
        <v>501159</v>
      </c>
      <c r="H15" s="1004">
        <f t="shared" si="0"/>
        <v>51023.166666666</v>
      </c>
      <c r="I15" s="1002" t="s">
        <v>654</v>
      </c>
      <c r="J15" s="1010">
        <f>3+(1/30)</f>
        <v>3.03333333333333</v>
      </c>
      <c r="K15" s="1004">
        <f t="shared" si="1"/>
        <v>154770.27222222</v>
      </c>
    </row>
    <row r="16" ht="30" customHeight="1" spans="1:11">
      <c r="A16" s="760">
        <v>11</v>
      </c>
      <c r="B16" s="1001" t="s">
        <v>655</v>
      </c>
      <c r="C16" s="1002" t="s">
        <v>656</v>
      </c>
      <c r="D16" s="1005" t="s">
        <v>648</v>
      </c>
      <c r="E16" s="1001" t="s">
        <v>649</v>
      </c>
      <c r="F16" s="1004">
        <v>459131.166666667</v>
      </c>
      <c r="G16" s="1004">
        <v>501159</v>
      </c>
      <c r="H16" s="1004">
        <f t="shared" si="0"/>
        <v>42027.833333333</v>
      </c>
      <c r="I16" s="829" t="s">
        <v>657</v>
      </c>
      <c r="J16" s="1010">
        <f>28/30</f>
        <v>0.933333333333333</v>
      </c>
      <c r="K16" s="1004">
        <f t="shared" si="1"/>
        <v>39225.9777777775</v>
      </c>
    </row>
    <row r="17" ht="30" customHeight="1" spans="1:11">
      <c r="A17" s="760">
        <v>12</v>
      </c>
      <c r="B17" s="1001" t="s">
        <v>658</v>
      </c>
      <c r="C17" s="1002" t="s">
        <v>620</v>
      </c>
      <c r="D17" s="1006" t="s">
        <v>659</v>
      </c>
      <c r="E17" s="1001" t="s">
        <v>594</v>
      </c>
      <c r="F17" s="1004">
        <v>398711.666666667</v>
      </c>
      <c r="G17" s="1004">
        <v>432145.333333333</v>
      </c>
      <c r="H17" s="1004">
        <f t="shared" si="0"/>
        <v>33433.666666666</v>
      </c>
      <c r="I17" s="829" t="s">
        <v>660</v>
      </c>
      <c r="J17" s="1010">
        <f>1+(18/31)</f>
        <v>1.58064516129032</v>
      </c>
      <c r="K17" s="1004">
        <f t="shared" si="1"/>
        <v>52846.7634408591</v>
      </c>
    </row>
    <row r="18" ht="30" customHeight="1" spans="1:11">
      <c r="A18" s="760">
        <v>13</v>
      </c>
      <c r="B18" s="1001" t="s">
        <v>661</v>
      </c>
      <c r="C18" s="1002" t="s">
        <v>625</v>
      </c>
      <c r="D18" s="1006" t="s">
        <v>593</v>
      </c>
      <c r="E18" s="1001" t="s">
        <v>594</v>
      </c>
      <c r="F18" s="1004">
        <v>415320.666666667</v>
      </c>
      <c r="G18" s="1004">
        <v>432145.333333333</v>
      </c>
      <c r="H18" s="1004">
        <f t="shared" si="0"/>
        <v>16824.666666666</v>
      </c>
      <c r="I18" s="829" t="s">
        <v>662</v>
      </c>
      <c r="J18" s="1010">
        <f t="shared" ref="J18:J23" si="3">2+(3/31)</f>
        <v>2.09677419354839</v>
      </c>
      <c r="K18" s="1004">
        <f t="shared" si="1"/>
        <v>35277.5268817192</v>
      </c>
    </row>
    <row r="19" ht="30" customHeight="1" spans="1:11">
      <c r="A19" s="760">
        <v>14</v>
      </c>
      <c r="B19" s="1001" t="s">
        <v>663</v>
      </c>
      <c r="C19" s="1002" t="s">
        <v>664</v>
      </c>
      <c r="D19" s="1006" t="s">
        <v>593</v>
      </c>
      <c r="E19" s="1001" t="s">
        <v>594</v>
      </c>
      <c r="F19" s="1004">
        <v>415320.666666667</v>
      </c>
      <c r="G19" s="1004">
        <v>432145.333333333</v>
      </c>
      <c r="H19" s="1004">
        <f t="shared" si="0"/>
        <v>16824.666666666</v>
      </c>
      <c r="I19" s="829" t="s">
        <v>645</v>
      </c>
      <c r="J19" s="1010">
        <f>1+23/31</f>
        <v>1.74193548387097</v>
      </c>
      <c r="K19" s="1004">
        <f t="shared" si="1"/>
        <v>29307.4838709667</v>
      </c>
    </row>
    <row r="20" ht="30" customHeight="1" spans="1:11">
      <c r="A20" s="760">
        <v>15</v>
      </c>
      <c r="B20" s="1001" t="s">
        <v>665</v>
      </c>
      <c r="C20" s="1002" t="s">
        <v>666</v>
      </c>
      <c r="D20" s="1006" t="s">
        <v>593</v>
      </c>
      <c r="E20" s="1001" t="s">
        <v>594</v>
      </c>
      <c r="F20" s="1004">
        <v>415320.666666667</v>
      </c>
      <c r="G20" s="1004">
        <v>432145.333333333</v>
      </c>
      <c r="H20" s="1004">
        <f t="shared" si="0"/>
        <v>16824.666666666</v>
      </c>
      <c r="I20" s="829" t="s">
        <v>667</v>
      </c>
      <c r="J20" s="1010">
        <f>2+(29/31)</f>
        <v>2.93548387096774</v>
      </c>
      <c r="K20" s="1004">
        <f t="shared" si="1"/>
        <v>49388.5376344067</v>
      </c>
    </row>
    <row r="21" ht="30" customHeight="1" spans="1:11">
      <c r="A21" s="760">
        <v>16</v>
      </c>
      <c r="B21" s="1001" t="s">
        <v>668</v>
      </c>
      <c r="C21" s="1002" t="s">
        <v>669</v>
      </c>
      <c r="D21" s="1006" t="s">
        <v>593</v>
      </c>
      <c r="E21" s="1001" t="s">
        <v>594</v>
      </c>
      <c r="F21" s="1004">
        <v>455320.666666667</v>
      </c>
      <c r="G21" s="1004">
        <f>432145.333333333+50000</f>
        <v>482145.333333333</v>
      </c>
      <c r="H21" s="1004">
        <f t="shared" si="0"/>
        <v>26824.666666666</v>
      </c>
      <c r="I21" s="1002" t="s">
        <v>670</v>
      </c>
      <c r="J21" s="1010">
        <f>7+(15/28)</f>
        <v>7.53571428571429</v>
      </c>
      <c r="K21" s="1004">
        <f t="shared" si="1"/>
        <v>202143.023809519</v>
      </c>
    </row>
    <row r="22" ht="30" customHeight="1" spans="1:11">
      <c r="A22" s="760">
        <v>17</v>
      </c>
      <c r="B22" s="1001" t="s">
        <v>671</v>
      </c>
      <c r="C22" s="1002" t="s">
        <v>672</v>
      </c>
      <c r="D22" s="1006" t="s">
        <v>659</v>
      </c>
      <c r="E22" s="1001" t="s">
        <v>594</v>
      </c>
      <c r="F22" s="1004">
        <v>398711.666666667</v>
      </c>
      <c r="G22" s="1004">
        <v>432145.333333333</v>
      </c>
      <c r="H22" s="1004">
        <f t="shared" si="0"/>
        <v>33433.666666666</v>
      </c>
      <c r="I22" s="829" t="s">
        <v>662</v>
      </c>
      <c r="J22" s="1010">
        <f t="shared" si="3"/>
        <v>2.09677419354839</v>
      </c>
      <c r="K22" s="1004">
        <f t="shared" si="1"/>
        <v>70102.8494623644</v>
      </c>
    </row>
    <row r="23" ht="30" customHeight="1" spans="1:11">
      <c r="A23" s="760">
        <v>18</v>
      </c>
      <c r="B23" s="1001" t="s">
        <v>673</v>
      </c>
      <c r="C23" s="1002" t="s">
        <v>674</v>
      </c>
      <c r="D23" s="1006" t="s">
        <v>593</v>
      </c>
      <c r="E23" s="1001" t="s">
        <v>594</v>
      </c>
      <c r="F23" s="1004">
        <v>415320.666666667</v>
      </c>
      <c r="G23" s="1004">
        <v>432145.333333333</v>
      </c>
      <c r="H23" s="1004">
        <f t="shared" si="0"/>
        <v>16824.666666666</v>
      </c>
      <c r="I23" s="829" t="s">
        <v>662</v>
      </c>
      <c r="J23" s="1010">
        <f t="shared" si="3"/>
        <v>2.09677419354839</v>
      </c>
      <c r="K23" s="1004">
        <f t="shared" si="1"/>
        <v>35277.5268817192</v>
      </c>
    </row>
    <row r="24" ht="30" customHeight="1" spans="1:11">
      <c r="A24" s="760">
        <v>19</v>
      </c>
      <c r="B24" s="1001" t="s">
        <v>675</v>
      </c>
      <c r="C24" s="1002" t="s">
        <v>620</v>
      </c>
      <c r="D24" s="1005" t="s">
        <v>676</v>
      </c>
      <c r="E24" s="1001" t="s">
        <v>677</v>
      </c>
      <c r="F24" s="1004">
        <v>0</v>
      </c>
      <c r="G24" s="1004">
        <v>0</v>
      </c>
      <c r="H24" s="1004">
        <f t="shared" si="0"/>
        <v>0</v>
      </c>
      <c r="I24" s="1002" t="s">
        <v>670</v>
      </c>
      <c r="J24" s="1010">
        <v>0</v>
      </c>
      <c r="K24" s="1004">
        <f t="shared" si="1"/>
        <v>0</v>
      </c>
    </row>
    <row r="25" ht="30" customHeight="1" spans="1:11">
      <c r="A25" s="760">
        <v>20</v>
      </c>
      <c r="B25" s="1001" t="s">
        <v>678</v>
      </c>
      <c r="C25" s="1002" t="s">
        <v>666</v>
      </c>
      <c r="D25" s="1005" t="s">
        <v>679</v>
      </c>
      <c r="E25" s="1001" t="s">
        <v>677</v>
      </c>
      <c r="F25" s="1004">
        <v>358920.666666667</v>
      </c>
      <c r="G25" s="1004">
        <v>390407.083333333</v>
      </c>
      <c r="H25" s="1004">
        <f t="shared" si="0"/>
        <v>31486.416666666</v>
      </c>
      <c r="I25" s="829" t="s">
        <v>662</v>
      </c>
      <c r="J25" s="1010">
        <v>2.09677419354839</v>
      </c>
      <c r="K25" s="1004">
        <f t="shared" si="1"/>
        <v>66019.9059139773</v>
      </c>
    </row>
    <row r="26" ht="30" customHeight="1" spans="1:11">
      <c r="A26" s="760">
        <v>21</v>
      </c>
      <c r="B26" s="1001" t="s">
        <v>680</v>
      </c>
      <c r="C26" s="1002" t="s">
        <v>620</v>
      </c>
      <c r="D26" s="1006" t="s">
        <v>681</v>
      </c>
      <c r="E26" s="1001" t="s">
        <v>682</v>
      </c>
      <c r="F26" s="1004">
        <v>170356.75</v>
      </c>
      <c r="G26" s="1004">
        <v>240784</v>
      </c>
      <c r="H26" s="1004">
        <f t="shared" si="0"/>
        <v>70427.25</v>
      </c>
      <c r="I26" s="1002" t="s">
        <v>683</v>
      </c>
      <c r="J26" s="1010">
        <f>10+(4/30)</f>
        <v>10.1333333333333</v>
      </c>
      <c r="K26" s="1004">
        <f t="shared" si="1"/>
        <v>713662.799999998</v>
      </c>
    </row>
    <row r="27" ht="30" customHeight="1" spans="1:11">
      <c r="A27" s="760">
        <v>22</v>
      </c>
      <c r="B27" s="1001" t="s">
        <v>684</v>
      </c>
      <c r="C27" s="1002" t="s">
        <v>685</v>
      </c>
      <c r="D27" s="1006" t="s">
        <v>681</v>
      </c>
      <c r="E27" s="1001" t="s">
        <v>682</v>
      </c>
      <c r="F27" s="1004">
        <v>170356.75</v>
      </c>
      <c r="G27" s="1004">
        <v>240784</v>
      </c>
      <c r="H27" s="1004">
        <f t="shared" si="0"/>
        <v>70427.25</v>
      </c>
      <c r="I27" s="829" t="s">
        <v>645</v>
      </c>
      <c r="J27" s="1010">
        <f t="shared" ref="J27:J31" si="4">1+23/31</f>
        <v>1.74193548387097</v>
      </c>
      <c r="K27" s="1004">
        <f t="shared" si="1"/>
        <v>122679.725806452</v>
      </c>
    </row>
    <row r="28" ht="30" customHeight="1" spans="1:11">
      <c r="A28" s="760">
        <v>23</v>
      </c>
      <c r="B28" s="1001" t="s">
        <v>686</v>
      </c>
      <c r="C28" s="1002" t="s">
        <v>635</v>
      </c>
      <c r="D28" s="1006" t="s">
        <v>681</v>
      </c>
      <c r="E28" s="1001" t="s">
        <v>682</v>
      </c>
      <c r="F28" s="1004">
        <v>170356.75</v>
      </c>
      <c r="G28" s="1004">
        <v>240784</v>
      </c>
      <c r="H28" s="1004">
        <f t="shared" si="0"/>
        <v>70427.25</v>
      </c>
      <c r="I28" s="829" t="s">
        <v>645</v>
      </c>
      <c r="J28" s="1010">
        <f t="shared" si="4"/>
        <v>1.74193548387097</v>
      </c>
      <c r="K28" s="1004">
        <f t="shared" si="1"/>
        <v>122679.725806452</v>
      </c>
    </row>
    <row r="29" ht="30" customHeight="1" spans="1:11">
      <c r="A29" s="760">
        <v>24</v>
      </c>
      <c r="B29" s="1001" t="s">
        <v>687</v>
      </c>
      <c r="C29" s="1002" t="s">
        <v>669</v>
      </c>
      <c r="D29" s="1006" t="s">
        <v>681</v>
      </c>
      <c r="E29" s="1001" t="s">
        <v>682</v>
      </c>
      <c r="F29" s="1004">
        <v>170356.75</v>
      </c>
      <c r="G29" s="1004">
        <v>240784</v>
      </c>
      <c r="H29" s="1004">
        <f t="shared" si="0"/>
        <v>70427.25</v>
      </c>
      <c r="I29" s="829" t="s">
        <v>645</v>
      </c>
      <c r="J29" s="1010">
        <f t="shared" si="4"/>
        <v>1.74193548387097</v>
      </c>
      <c r="K29" s="1004">
        <f t="shared" si="1"/>
        <v>122679.725806452</v>
      </c>
    </row>
    <row r="30" ht="25" customHeight="1" spans="1:11">
      <c r="A30" s="760">
        <v>25</v>
      </c>
      <c r="B30" s="1001" t="s">
        <v>688</v>
      </c>
      <c r="C30" s="1002" t="s">
        <v>620</v>
      </c>
      <c r="D30" s="1006" t="s">
        <v>681</v>
      </c>
      <c r="E30" s="1001" t="s">
        <v>682</v>
      </c>
      <c r="F30" s="1004">
        <v>170356.75</v>
      </c>
      <c r="G30" s="1004">
        <v>240784</v>
      </c>
      <c r="H30" s="1004">
        <f t="shared" si="0"/>
        <v>70427.25</v>
      </c>
      <c r="I30" s="829" t="s">
        <v>645</v>
      </c>
      <c r="J30" s="1010">
        <f t="shared" si="4"/>
        <v>1.74193548387097</v>
      </c>
      <c r="K30" s="1004">
        <f t="shared" si="1"/>
        <v>122679.725806452</v>
      </c>
    </row>
    <row r="31" ht="23" customHeight="1" spans="1:11">
      <c r="A31" s="760">
        <v>26</v>
      </c>
      <c r="B31" s="1001" t="s">
        <v>689</v>
      </c>
      <c r="C31" s="1002" t="s">
        <v>690</v>
      </c>
      <c r="D31" s="1006" t="s">
        <v>681</v>
      </c>
      <c r="E31" s="1001" t="s">
        <v>682</v>
      </c>
      <c r="F31" s="1004">
        <v>170356.75</v>
      </c>
      <c r="G31" s="1004">
        <v>240784</v>
      </c>
      <c r="H31" s="1004">
        <f t="shared" si="0"/>
        <v>70427.25</v>
      </c>
      <c r="I31" s="829" t="s">
        <v>645</v>
      </c>
      <c r="J31" s="1010">
        <f t="shared" si="4"/>
        <v>1.74193548387097</v>
      </c>
      <c r="K31" s="1004">
        <f t="shared" si="1"/>
        <v>122679.725806452</v>
      </c>
    </row>
    <row r="32" ht="22" customHeight="1" spans="1:11">
      <c r="A32" s="1005"/>
      <c r="B32" s="1005" t="s">
        <v>120</v>
      </c>
      <c r="C32" s="1005"/>
      <c r="D32" s="1005"/>
      <c r="E32" s="1005"/>
      <c r="F32" s="1004"/>
      <c r="G32" s="1004"/>
      <c r="H32" s="1007">
        <f>SUM(H6:H31)</f>
        <v>1065012.66666666</v>
      </c>
      <c r="I32" s="1005"/>
      <c r="J32" s="1011"/>
      <c r="K32" s="1012">
        <f>SUM(K6:K31)</f>
        <v>2458835.14495645</v>
      </c>
    </row>
    <row r="33" ht="14" spans="1:11">
      <c r="A33" s="1008"/>
      <c r="B33" s="1008"/>
      <c r="C33" s="1008"/>
      <c r="D33" s="1008"/>
      <c r="E33" s="1008"/>
      <c r="F33" s="1008"/>
      <c r="G33" s="1008"/>
      <c r="H33" s="1008"/>
      <c r="I33" s="1008"/>
      <c r="J33" s="1008"/>
      <c r="K33" s="1008"/>
    </row>
    <row r="34" ht="14" spans="1:11">
      <c r="A34" s="1008"/>
      <c r="B34" s="1008"/>
      <c r="C34" s="1008"/>
      <c r="D34" s="1008"/>
      <c r="E34" s="1008"/>
      <c r="F34" s="1008"/>
      <c r="G34" s="1008"/>
      <c r="H34" s="1008"/>
      <c r="I34" s="1008"/>
      <c r="J34" s="1008"/>
      <c r="K34" s="1008"/>
    </row>
    <row r="35" ht="14" spans="1:11">
      <c r="A35" s="1008"/>
      <c r="B35" s="1008"/>
      <c r="C35" s="1008"/>
      <c r="D35" s="1008"/>
      <c r="E35" s="1008"/>
      <c r="F35" s="1008"/>
      <c r="G35" s="1008"/>
      <c r="H35" s="1008"/>
      <c r="I35" s="1008"/>
      <c r="J35" s="1008"/>
      <c r="K35" s="1008"/>
    </row>
    <row r="36" ht="14" spans="1:11">
      <c r="A36" s="1008"/>
      <c r="B36" s="1008"/>
      <c r="C36" s="1008"/>
      <c r="D36" s="1008"/>
      <c r="E36" s="1008"/>
      <c r="F36" s="1008"/>
      <c r="G36" s="1008"/>
      <c r="H36" s="1008"/>
      <c r="I36" s="1008"/>
      <c r="J36" s="1008"/>
      <c r="K36" s="1008"/>
    </row>
    <row r="37" ht="14" spans="1:11">
      <c r="A37" s="1008"/>
      <c r="B37" s="1008"/>
      <c r="C37" s="1008"/>
      <c r="D37" s="1008"/>
      <c r="E37" s="1008"/>
      <c r="F37" s="1008"/>
      <c r="G37" s="1008"/>
      <c r="H37" s="1008"/>
      <c r="I37" s="1008"/>
      <c r="J37" s="1008"/>
      <c r="K37" s="1008"/>
    </row>
    <row r="38" ht="14" spans="1:11">
      <c r="A38" s="1008"/>
      <c r="B38" s="1008"/>
      <c r="C38" s="1008"/>
      <c r="D38" s="1008"/>
      <c r="E38" s="1008"/>
      <c r="F38" s="1008"/>
      <c r="G38" s="1008"/>
      <c r="H38" s="1008"/>
      <c r="I38" s="1008"/>
      <c r="J38" s="1008"/>
      <c r="K38" s="1008"/>
    </row>
    <row r="39" ht="14" spans="1:11">
      <c r="A39" s="1008"/>
      <c r="B39" s="1008"/>
      <c r="C39" s="1008"/>
      <c r="D39" s="1008"/>
      <c r="E39" s="1008"/>
      <c r="F39" s="1008"/>
      <c r="G39" s="1008"/>
      <c r="H39" s="1008"/>
      <c r="I39" s="1008"/>
      <c r="J39" s="1008"/>
      <c r="K39" s="1008"/>
    </row>
    <row r="40" ht="14" spans="1:11">
      <c r="A40" s="1008"/>
      <c r="B40" s="1008"/>
      <c r="C40" s="1008"/>
      <c r="D40" s="1008"/>
      <c r="E40" s="1008"/>
      <c r="F40" s="1008"/>
      <c r="G40" s="1008"/>
      <c r="H40" s="1008"/>
      <c r="I40" s="1008"/>
      <c r="J40" s="1008"/>
      <c r="K40" s="1008"/>
    </row>
    <row r="41" ht="14" spans="1:11">
      <c r="A41" s="1008"/>
      <c r="B41" s="1008"/>
      <c r="C41" s="1008"/>
      <c r="D41" s="1008"/>
      <c r="E41" s="1008"/>
      <c r="F41" s="1008"/>
      <c r="G41" s="1008"/>
      <c r="H41" s="1008"/>
      <c r="I41" s="1008"/>
      <c r="J41" s="1008"/>
      <c r="K41" s="1008"/>
    </row>
    <row r="42" ht="14" spans="1:11">
      <c r="A42" s="1008"/>
      <c r="B42" s="1008"/>
      <c r="C42" s="1008"/>
      <c r="D42" s="1008"/>
      <c r="E42" s="1008"/>
      <c r="F42" s="1008"/>
      <c r="G42" s="1008"/>
      <c r="H42" s="1008"/>
      <c r="I42" s="1008"/>
      <c r="J42" s="1008"/>
      <c r="K42" s="1008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horizontalDpi="600"/>
  <headerFooter/>
  <rowBreaks count="1" manualBreakCount="1">
    <brk id="1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view="pageBreakPreview" zoomScaleNormal="100" topLeftCell="A15" workbookViewId="0">
      <selection activeCell="M16" sqref="M16"/>
    </sheetView>
  </sheetViews>
  <sheetFormatPr defaultColWidth="8.72727272727273" defaultRowHeight="12.5"/>
  <cols>
    <col min="1" max="1" width="4" customWidth="1"/>
    <col min="2" max="2" width="18.8181818181818" customWidth="1"/>
    <col min="3" max="3" width="8.27272727272727" customWidth="1"/>
    <col min="4" max="4" width="15.6363636363636" customWidth="1"/>
    <col min="5" max="5" width="8.63636363636364" customWidth="1"/>
    <col min="6" max="6" width="10.1818181818182" customWidth="1"/>
    <col min="7" max="7" width="12.1818181818182" customWidth="1"/>
    <col min="8" max="8" width="11.3636363636364" customWidth="1"/>
    <col min="9" max="9" width="10.6363636363636" customWidth="1"/>
    <col min="10" max="10" width="9.63636363636364" customWidth="1"/>
    <col min="11" max="11" width="12.5454545454545" customWidth="1"/>
    <col min="12" max="12" width="11" customWidth="1"/>
    <col min="13" max="13" width="12.7272727272727" customWidth="1"/>
    <col min="14" max="14" width="12.4545454545455" customWidth="1"/>
    <col min="15" max="15" width="12.1818181818182" customWidth="1"/>
    <col min="16" max="16" width="9.63636363636364"/>
  </cols>
  <sheetData>
    <row r="1" ht="17.5" spans="1:15">
      <c r="A1" s="989" t="s">
        <v>578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</row>
    <row r="2" ht="17.5" spans="1:15">
      <c r="A2" s="989" t="s">
        <v>691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  <c r="L2" s="989"/>
      <c r="M2" s="989"/>
      <c r="N2" s="989"/>
      <c r="O2" s="989"/>
    </row>
    <row r="3" ht="9" customHeight="1"/>
    <row r="4" ht="44" customHeight="1" spans="1:15">
      <c r="A4" s="990" t="s">
        <v>580</v>
      </c>
      <c r="B4" s="990" t="s">
        <v>581</v>
      </c>
      <c r="C4" s="990" t="s">
        <v>692</v>
      </c>
      <c r="D4" s="283" t="s">
        <v>3</v>
      </c>
      <c r="E4" s="283" t="s">
        <v>693</v>
      </c>
      <c r="F4" s="684" t="s">
        <v>694</v>
      </c>
      <c r="G4" s="684" t="s">
        <v>695</v>
      </c>
      <c r="H4" s="684" t="s">
        <v>696</v>
      </c>
      <c r="I4" s="684" t="s">
        <v>697</v>
      </c>
      <c r="J4" s="684" t="s">
        <v>698</v>
      </c>
      <c r="K4" s="993" t="s">
        <v>9</v>
      </c>
      <c r="L4" s="946" t="s">
        <v>15</v>
      </c>
      <c r="M4" s="684" t="s">
        <v>699</v>
      </c>
      <c r="N4" s="684" t="s">
        <v>700</v>
      </c>
      <c r="O4" s="684" t="s">
        <v>701</v>
      </c>
    </row>
    <row r="5" ht="30" customHeight="1" spans="1:15">
      <c r="A5" s="279">
        <v>1</v>
      </c>
      <c r="B5" s="987" t="s">
        <v>702</v>
      </c>
      <c r="C5" s="987" t="s">
        <v>454</v>
      </c>
      <c r="D5" s="987" t="s">
        <v>703</v>
      </c>
      <c r="E5" s="987" t="s">
        <v>704</v>
      </c>
      <c r="F5" s="991">
        <v>432981.083333333</v>
      </c>
      <c r="G5" s="991">
        <v>267732.833333333</v>
      </c>
      <c r="H5" s="991">
        <f>F5+G5</f>
        <v>700713.916666667</v>
      </c>
      <c r="I5" s="991"/>
      <c r="J5" s="991">
        <v>80000</v>
      </c>
      <c r="K5" s="994">
        <f>H5+I5+J5</f>
        <v>780713.916666667</v>
      </c>
      <c r="L5" s="995">
        <v>117800.772906667</v>
      </c>
      <c r="M5" s="995">
        <f>0.08*H5</f>
        <v>56057.1133333333</v>
      </c>
      <c r="N5" s="995">
        <f>M5*12</f>
        <v>672685.36</v>
      </c>
      <c r="O5" s="996">
        <f>K5-L5-M5</f>
        <v>606856.030426667</v>
      </c>
    </row>
    <row r="6" ht="30" customHeight="1" spans="1:15">
      <c r="A6" s="279">
        <v>2</v>
      </c>
      <c r="B6" s="987" t="s">
        <v>705</v>
      </c>
      <c r="C6" s="987" t="s">
        <v>690</v>
      </c>
      <c r="D6" s="987" t="s">
        <v>706</v>
      </c>
      <c r="E6" s="987" t="s">
        <v>704</v>
      </c>
      <c r="F6" s="991">
        <v>432981.083333333</v>
      </c>
      <c r="G6" s="991">
        <v>267732.833333333</v>
      </c>
      <c r="H6" s="991">
        <f t="shared" ref="H6:H28" si="0">F6+G6</f>
        <v>700713.916666667</v>
      </c>
      <c r="I6" s="991">
        <v>160000</v>
      </c>
      <c r="J6" s="991"/>
      <c r="K6" s="994">
        <f t="shared" ref="K6:K28" si="1">H6+I6+J6</f>
        <v>860713.916666667</v>
      </c>
      <c r="L6" s="995">
        <v>133160.772906667</v>
      </c>
      <c r="M6" s="995">
        <f t="shared" ref="M6:M28" si="2">0.08*H6</f>
        <v>56057.1133333333</v>
      </c>
      <c r="N6" s="995">
        <f t="shared" ref="N6:N28" si="3">M6*12</f>
        <v>672685.36</v>
      </c>
      <c r="O6" s="996">
        <f t="shared" ref="O6:O28" si="4">K6-L6-M6</f>
        <v>671496.030426667</v>
      </c>
    </row>
    <row r="7" ht="30" customHeight="1" spans="1:15">
      <c r="A7" s="279">
        <v>3</v>
      </c>
      <c r="B7" s="987" t="s">
        <v>707</v>
      </c>
      <c r="C7" s="987" t="s">
        <v>708</v>
      </c>
      <c r="D7" s="987" t="s">
        <v>706</v>
      </c>
      <c r="E7" s="987" t="s">
        <v>704</v>
      </c>
      <c r="F7" s="991">
        <v>432981.083333333</v>
      </c>
      <c r="G7" s="991">
        <v>267732.833333333</v>
      </c>
      <c r="H7" s="991">
        <f t="shared" si="0"/>
        <v>700713.916666667</v>
      </c>
      <c r="I7" s="991">
        <v>160000</v>
      </c>
      <c r="J7" s="991"/>
      <c r="K7" s="994">
        <f t="shared" si="1"/>
        <v>860713.916666667</v>
      </c>
      <c r="L7" s="995">
        <v>133160.772906667</v>
      </c>
      <c r="M7" s="995">
        <f t="shared" si="2"/>
        <v>56057.1133333333</v>
      </c>
      <c r="N7" s="995">
        <f t="shared" si="3"/>
        <v>672685.36</v>
      </c>
      <c r="O7" s="996">
        <f t="shared" si="4"/>
        <v>671496.030426667</v>
      </c>
    </row>
    <row r="8" ht="30" customHeight="1" spans="1:15">
      <c r="A8" s="279">
        <v>4</v>
      </c>
      <c r="B8" s="987" t="s">
        <v>709</v>
      </c>
      <c r="C8" s="987" t="s">
        <v>710</v>
      </c>
      <c r="D8" s="987" t="s">
        <v>711</v>
      </c>
      <c r="E8" s="987" t="s">
        <v>712</v>
      </c>
      <c r="F8" s="991">
        <v>329014.416666667</v>
      </c>
      <c r="G8" s="991">
        <v>197659.166666667</v>
      </c>
      <c r="H8" s="991">
        <f t="shared" si="0"/>
        <v>526673.583333333</v>
      </c>
      <c r="I8" s="991"/>
      <c r="J8" s="991">
        <v>70000</v>
      </c>
      <c r="K8" s="994">
        <f t="shared" si="1"/>
        <v>596673.583333333</v>
      </c>
      <c r="L8" s="995">
        <v>85138.2884266667</v>
      </c>
      <c r="M8" s="995">
        <f t="shared" si="2"/>
        <v>42133.8866666667</v>
      </c>
      <c r="N8" s="995">
        <f t="shared" si="3"/>
        <v>505606.64</v>
      </c>
      <c r="O8" s="996">
        <f t="shared" si="4"/>
        <v>469401.40824</v>
      </c>
    </row>
    <row r="9" ht="30" customHeight="1" spans="1:16">
      <c r="A9" s="279">
        <v>5</v>
      </c>
      <c r="B9" s="987" t="s">
        <v>713</v>
      </c>
      <c r="C9" s="987" t="s">
        <v>714</v>
      </c>
      <c r="D9" s="987" t="s">
        <v>715</v>
      </c>
      <c r="E9" s="987" t="s">
        <v>716</v>
      </c>
      <c r="F9" s="991">
        <v>278231.25</v>
      </c>
      <c r="G9" s="991">
        <v>162927.75</v>
      </c>
      <c r="H9" s="991">
        <f t="shared" si="0"/>
        <v>441159</v>
      </c>
      <c r="I9" s="991">
        <f>110000+48527.49</f>
        <v>158527.49</v>
      </c>
      <c r="J9" s="991"/>
      <c r="K9" s="994">
        <f t="shared" si="1"/>
        <v>599686.49</v>
      </c>
      <c r="L9" s="995">
        <v>87030.2705066667</v>
      </c>
      <c r="M9" s="995">
        <f t="shared" si="2"/>
        <v>35292.72</v>
      </c>
      <c r="N9" s="995">
        <f t="shared" si="3"/>
        <v>423512.64</v>
      </c>
      <c r="O9" s="996">
        <f t="shared" si="4"/>
        <v>477363.499493333</v>
      </c>
      <c r="P9" s="213"/>
    </row>
    <row r="10" ht="30" customHeight="1" spans="1:15">
      <c r="A10" s="279">
        <v>6</v>
      </c>
      <c r="B10" s="987" t="s">
        <v>717</v>
      </c>
      <c r="C10" s="987" t="s">
        <v>718</v>
      </c>
      <c r="D10" s="987" t="s">
        <v>719</v>
      </c>
      <c r="E10" s="987" t="s">
        <v>720</v>
      </c>
      <c r="F10" s="991">
        <v>187994.416666667</v>
      </c>
      <c r="G10" s="991">
        <v>99896.5</v>
      </c>
      <c r="H10" s="991">
        <f t="shared" si="0"/>
        <v>287890.916666667</v>
      </c>
      <c r="I10" s="991"/>
      <c r="J10" s="991">
        <v>50000</v>
      </c>
      <c r="K10" s="994">
        <f t="shared" si="1"/>
        <v>337890.916666667</v>
      </c>
      <c r="L10" s="995">
        <v>40063.0867466667</v>
      </c>
      <c r="M10" s="995">
        <f t="shared" si="2"/>
        <v>23031.2733333333</v>
      </c>
      <c r="N10" s="995">
        <f t="shared" si="3"/>
        <v>276375.28</v>
      </c>
      <c r="O10" s="996">
        <f t="shared" si="4"/>
        <v>274796.556586667</v>
      </c>
    </row>
    <row r="11" ht="30" customHeight="1" spans="1:15">
      <c r="A11" s="279">
        <v>7</v>
      </c>
      <c r="B11" s="987" t="s">
        <v>721</v>
      </c>
      <c r="C11" s="987" t="s">
        <v>644</v>
      </c>
      <c r="D11" s="987" t="s">
        <v>722</v>
      </c>
      <c r="E11" s="987" t="s">
        <v>723</v>
      </c>
      <c r="F11" s="991">
        <v>212792.166666667</v>
      </c>
      <c r="G11" s="991">
        <v>117614.916666667</v>
      </c>
      <c r="H11" s="991">
        <f t="shared" si="0"/>
        <v>330407.083333333</v>
      </c>
      <c r="I11" s="991">
        <v>100000</v>
      </c>
      <c r="J11" s="991"/>
      <c r="K11" s="994">
        <f t="shared" si="1"/>
        <v>430407.083333333</v>
      </c>
      <c r="L11" s="995">
        <v>56229.7738666667</v>
      </c>
      <c r="M11" s="995">
        <f t="shared" si="2"/>
        <v>26432.5666666667</v>
      </c>
      <c r="N11" s="995">
        <f t="shared" si="3"/>
        <v>317190.8</v>
      </c>
      <c r="O11" s="996">
        <f t="shared" si="4"/>
        <v>347744.7428</v>
      </c>
    </row>
    <row r="12" ht="30" customHeight="1" spans="1:16">
      <c r="A12" s="279">
        <v>8</v>
      </c>
      <c r="B12" s="987" t="s">
        <v>724</v>
      </c>
      <c r="C12" s="987" t="s">
        <v>714</v>
      </c>
      <c r="D12" s="987" t="s">
        <v>725</v>
      </c>
      <c r="E12" s="987" t="s">
        <v>720</v>
      </c>
      <c r="F12" s="991">
        <v>187994.416666667</v>
      </c>
      <c r="G12" s="991">
        <v>99896.5</v>
      </c>
      <c r="H12" s="991">
        <f t="shared" si="0"/>
        <v>287890.916666667</v>
      </c>
      <c r="I12" s="991">
        <f>100000+31668</f>
        <v>131668</v>
      </c>
      <c r="J12" s="991"/>
      <c r="K12" s="994">
        <f t="shared" si="1"/>
        <v>419558.916666667</v>
      </c>
      <c r="L12" s="995">
        <v>54799.9741866667</v>
      </c>
      <c r="M12" s="995">
        <f t="shared" si="2"/>
        <v>23031.2733333333</v>
      </c>
      <c r="N12" s="995">
        <f t="shared" si="3"/>
        <v>276375.28</v>
      </c>
      <c r="O12" s="996">
        <f t="shared" si="4"/>
        <v>341727.669146667</v>
      </c>
      <c r="P12" s="213"/>
    </row>
    <row r="13" ht="30" customHeight="1" spans="1:15">
      <c r="A13" s="279">
        <v>9</v>
      </c>
      <c r="B13" s="987" t="s">
        <v>726</v>
      </c>
      <c r="C13" s="987" t="s">
        <v>714</v>
      </c>
      <c r="D13" s="987" t="s">
        <v>725</v>
      </c>
      <c r="E13" s="987" t="s">
        <v>720</v>
      </c>
      <c r="F13" s="991">
        <v>187994.416666667</v>
      </c>
      <c r="G13" s="991">
        <v>99896.5</v>
      </c>
      <c r="H13" s="991">
        <f t="shared" si="0"/>
        <v>287890.916666667</v>
      </c>
      <c r="I13" s="991">
        <v>131668</v>
      </c>
      <c r="J13" s="991"/>
      <c r="K13" s="994">
        <f t="shared" si="1"/>
        <v>419558.916666667</v>
      </c>
      <c r="L13" s="995">
        <v>54799.9741866667</v>
      </c>
      <c r="M13" s="995">
        <f t="shared" si="2"/>
        <v>23031.2733333333</v>
      </c>
      <c r="N13" s="995">
        <f t="shared" si="3"/>
        <v>276375.28</v>
      </c>
      <c r="O13" s="996">
        <f t="shared" si="4"/>
        <v>341727.669146667</v>
      </c>
    </row>
    <row r="14" ht="30" customHeight="1" spans="1:15">
      <c r="A14" s="279">
        <v>10</v>
      </c>
      <c r="B14" s="987" t="s">
        <v>727</v>
      </c>
      <c r="C14" s="987" t="s">
        <v>718</v>
      </c>
      <c r="D14" s="987" t="s">
        <v>719</v>
      </c>
      <c r="E14" s="987" t="s">
        <v>720</v>
      </c>
      <c r="F14" s="991">
        <v>187994.416666667</v>
      </c>
      <c r="G14" s="991">
        <v>99896.5</v>
      </c>
      <c r="H14" s="991">
        <f t="shared" si="0"/>
        <v>287890.916666667</v>
      </c>
      <c r="I14" s="991"/>
      <c r="J14" s="991">
        <v>50000</v>
      </c>
      <c r="K14" s="994">
        <f t="shared" si="1"/>
        <v>337890.916666667</v>
      </c>
      <c r="L14" s="995">
        <v>40063.0867466667</v>
      </c>
      <c r="M14" s="995">
        <f t="shared" si="2"/>
        <v>23031.2733333333</v>
      </c>
      <c r="N14" s="995">
        <f t="shared" si="3"/>
        <v>276375.28</v>
      </c>
      <c r="O14" s="996">
        <f t="shared" si="4"/>
        <v>274796.556586667</v>
      </c>
    </row>
    <row r="15" ht="30" customHeight="1" spans="1:15">
      <c r="A15" s="279">
        <v>11</v>
      </c>
      <c r="B15" s="987" t="s">
        <v>728</v>
      </c>
      <c r="C15" s="987" t="s">
        <v>714</v>
      </c>
      <c r="D15" s="987" t="s">
        <v>725</v>
      </c>
      <c r="E15" s="987" t="s">
        <v>720</v>
      </c>
      <c r="F15" s="991">
        <v>187994.416666667</v>
      </c>
      <c r="G15" s="991">
        <v>99896.5</v>
      </c>
      <c r="H15" s="991">
        <f t="shared" si="0"/>
        <v>287890.916666667</v>
      </c>
      <c r="I15" s="991">
        <v>131668</v>
      </c>
      <c r="J15" s="991"/>
      <c r="K15" s="994">
        <v>419558.916666667</v>
      </c>
      <c r="L15" s="995">
        <v>54799.9741866667</v>
      </c>
      <c r="M15" s="995">
        <f t="shared" si="2"/>
        <v>23031.2733333333</v>
      </c>
      <c r="N15" s="995">
        <f t="shared" si="3"/>
        <v>276375.28</v>
      </c>
      <c r="O15" s="996">
        <f t="shared" si="4"/>
        <v>341727.669146667</v>
      </c>
    </row>
    <row r="16" ht="30" customHeight="1" spans="1:15">
      <c r="A16" s="279">
        <v>12</v>
      </c>
      <c r="B16" s="987" t="s">
        <v>729</v>
      </c>
      <c r="C16" s="987" t="s">
        <v>644</v>
      </c>
      <c r="D16" s="987" t="s">
        <v>730</v>
      </c>
      <c r="E16" s="987" t="s">
        <v>731</v>
      </c>
      <c r="F16" s="991">
        <v>235577.833333333</v>
      </c>
      <c r="G16" s="991">
        <v>136567.5</v>
      </c>
      <c r="H16" s="991">
        <f t="shared" si="0"/>
        <v>372145.333333333</v>
      </c>
      <c r="I16" s="991">
        <v>100000</v>
      </c>
      <c r="J16" s="991"/>
      <c r="K16" s="994">
        <f t="shared" si="1"/>
        <v>472145.333333333</v>
      </c>
      <c r="L16" s="995">
        <v>63602.4183466667</v>
      </c>
      <c r="M16" s="995">
        <f t="shared" si="2"/>
        <v>29771.6266666667</v>
      </c>
      <c r="N16" s="995">
        <f t="shared" si="3"/>
        <v>357259.52</v>
      </c>
      <c r="O16" s="996">
        <f t="shared" si="4"/>
        <v>378771.28832</v>
      </c>
    </row>
    <row r="17" ht="30" customHeight="1" spans="1:15">
      <c r="A17" s="279">
        <v>13</v>
      </c>
      <c r="B17" s="987" t="s">
        <v>732</v>
      </c>
      <c r="C17" s="987" t="s">
        <v>635</v>
      </c>
      <c r="D17" s="987" t="s">
        <v>733</v>
      </c>
      <c r="E17" s="987" t="s">
        <v>731</v>
      </c>
      <c r="F17" s="991">
        <v>235577.833333333</v>
      </c>
      <c r="G17" s="991">
        <v>136567.5</v>
      </c>
      <c r="H17" s="991">
        <f t="shared" si="0"/>
        <v>372145.333333333</v>
      </c>
      <c r="I17" s="991"/>
      <c r="J17" s="991">
        <v>60000</v>
      </c>
      <c r="K17" s="994">
        <f t="shared" si="1"/>
        <v>432145.333333333</v>
      </c>
      <c r="L17" s="995">
        <v>55922.4183466667</v>
      </c>
      <c r="M17" s="995">
        <f t="shared" si="2"/>
        <v>29771.6266666667</v>
      </c>
      <c r="N17" s="995">
        <f t="shared" si="3"/>
        <v>357259.52</v>
      </c>
      <c r="O17" s="996">
        <f t="shared" si="4"/>
        <v>346451.28832</v>
      </c>
    </row>
    <row r="18" ht="30" customHeight="1" spans="1:15">
      <c r="A18" s="279">
        <v>14</v>
      </c>
      <c r="B18" s="987" t="s">
        <v>734</v>
      </c>
      <c r="C18" s="987" t="s">
        <v>735</v>
      </c>
      <c r="D18" s="987" t="s">
        <v>736</v>
      </c>
      <c r="E18" s="987" t="s">
        <v>731</v>
      </c>
      <c r="F18" s="991">
        <v>235577.833333333</v>
      </c>
      <c r="G18" s="991">
        <v>136567.5</v>
      </c>
      <c r="H18" s="991">
        <f t="shared" si="0"/>
        <v>372145.333333333</v>
      </c>
      <c r="I18" s="991"/>
      <c r="J18" s="991">
        <v>60000</v>
      </c>
      <c r="K18" s="994">
        <f t="shared" si="1"/>
        <v>432145.333333333</v>
      </c>
      <c r="L18" s="995">
        <v>55922.4183466667</v>
      </c>
      <c r="M18" s="995">
        <f t="shared" si="2"/>
        <v>29771.6266666667</v>
      </c>
      <c r="N18" s="995">
        <f t="shared" si="3"/>
        <v>357259.52</v>
      </c>
      <c r="O18" s="996">
        <f t="shared" si="4"/>
        <v>346451.28832</v>
      </c>
    </row>
    <row r="19" ht="30" customHeight="1" spans="1:15">
      <c r="A19" s="279">
        <v>15</v>
      </c>
      <c r="B19" s="987" t="s">
        <v>737</v>
      </c>
      <c r="C19" s="987" t="s">
        <v>664</v>
      </c>
      <c r="D19" s="987" t="s">
        <v>738</v>
      </c>
      <c r="E19" s="987" t="s">
        <v>723</v>
      </c>
      <c r="F19" s="991">
        <v>212792.166666667</v>
      </c>
      <c r="G19" s="991">
        <v>117614.916666667</v>
      </c>
      <c r="H19" s="991">
        <f t="shared" si="0"/>
        <v>330407.083333333</v>
      </c>
      <c r="I19" s="991">
        <v>100000</v>
      </c>
      <c r="J19" s="991"/>
      <c r="K19" s="994">
        <f t="shared" si="1"/>
        <v>430407.083333333</v>
      </c>
      <c r="L19" s="995">
        <v>56229.7738666667</v>
      </c>
      <c r="M19" s="995">
        <f t="shared" si="2"/>
        <v>26432.5666666667</v>
      </c>
      <c r="N19" s="995">
        <f t="shared" si="3"/>
        <v>317190.8</v>
      </c>
      <c r="O19" s="996">
        <f t="shared" si="4"/>
        <v>347744.7428</v>
      </c>
    </row>
    <row r="20" ht="30" customHeight="1" spans="1:15">
      <c r="A20" s="279">
        <v>16</v>
      </c>
      <c r="B20" s="987" t="s">
        <v>739</v>
      </c>
      <c r="C20" s="987" t="s">
        <v>664</v>
      </c>
      <c r="D20" s="987" t="s">
        <v>738</v>
      </c>
      <c r="E20" s="987" t="s">
        <v>723</v>
      </c>
      <c r="F20" s="991">
        <v>212792.166666667</v>
      </c>
      <c r="G20" s="991">
        <v>117614.916666667</v>
      </c>
      <c r="H20" s="991">
        <f t="shared" si="0"/>
        <v>330407.083333333</v>
      </c>
      <c r="I20" s="991">
        <v>100000</v>
      </c>
      <c r="J20" s="991"/>
      <c r="K20" s="994">
        <f t="shared" si="1"/>
        <v>430407.083333333</v>
      </c>
      <c r="L20" s="995">
        <v>56229.7738666667</v>
      </c>
      <c r="M20" s="995">
        <f t="shared" si="2"/>
        <v>26432.5666666667</v>
      </c>
      <c r="N20" s="995">
        <f t="shared" si="3"/>
        <v>317190.8</v>
      </c>
      <c r="O20" s="996">
        <f t="shared" si="4"/>
        <v>347744.7428</v>
      </c>
    </row>
    <row r="21" ht="30" customHeight="1" spans="1:15">
      <c r="A21" s="279">
        <v>17</v>
      </c>
      <c r="B21" s="987" t="s">
        <v>740</v>
      </c>
      <c r="C21" s="987" t="s">
        <v>644</v>
      </c>
      <c r="D21" s="987" t="s">
        <v>741</v>
      </c>
      <c r="E21" s="987" t="s">
        <v>720</v>
      </c>
      <c r="F21" s="991">
        <v>187994.416666667</v>
      </c>
      <c r="G21" s="991">
        <v>99896.5</v>
      </c>
      <c r="H21" s="991">
        <f t="shared" si="0"/>
        <v>287890.916666667</v>
      </c>
      <c r="I21" s="991"/>
      <c r="J21" s="991">
        <v>50000</v>
      </c>
      <c r="K21" s="994">
        <f t="shared" si="1"/>
        <v>337890.916666667</v>
      </c>
      <c r="L21" s="995">
        <v>40063.0867466667</v>
      </c>
      <c r="M21" s="995">
        <f t="shared" si="2"/>
        <v>23031.2733333333</v>
      </c>
      <c r="N21" s="995">
        <f t="shared" si="3"/>
        <v>276375.28</v>
      </c>
      <c r="O21" s="996">
        <f t="shared" si="4"/>
        <v>274796.556586667</v>
      </c>
    </row>
    <row r="22" ht="30" customHeight="1" spans="1:15">
      <c r="A22" s="279">
        <v>18</v>
      </c>
      <c r="B22" s="992" t="s">
        <v>742</v>
      </c>
      <c r="C22" s="987" t="s">
        <v>708</v>
      </c>
      <c r="D22" s="987" t="s">
        <v>738</v>
      </c>
      <c r="E22" s="987" t="s">
        <v>723</v>
      </c>
      <c r="F22" s="991">
        <v>212792.166666667</v>
      </c>
      <c r="G22" s="991">
        <v>117614.916666667</v>
      </c>
      <c r="H22" s="991">
        <f t="shared" si="0"/>
        <v>330407.083333333</v>
      </c>
      <c r="I22" s="991">
        <v>100000</v>
      </c>
      <c r="J22" s="991"/>
      <c r="K22" s="994">
        <f t="shared" si="1"/>
        <v>430407.083333333</v>
      </c>
      <c r="L22" s="995">
        <v>56229.7738666667</v>
      </c>
      <c r="M22" s="995">
        <f t="shared" si="2"/>
        <v>26432.5666666667</v>
      </c>
      <c r="N22" s="995">
        <f t="shared" si="3"/>
        <v>317190.8</v>
      </c>
      <c r="O22" s="996">
        <f t="shared" si="4"/>
        <v>347744.7428</v>
      </c>
    </row>
    <row r="23" ht="30" customHeight="1" spans="1:15">
      <c r="A23" s="279">
        <v>19</v>
      </c>
      <c r="B23" s="992" t="s">
        <v>743</v>
      </c>
      <c r="C23" s="987" t="s">
        <v>708</v>
      </c>
      <c r="D23" s="987" t="s">
        <v>738</v>
      </c>
      <c r="E23" s="987" t="s">
        <v>723</v>
      </c>
      <c r="F23" s="991">
        <v>212792.166666667</v>
      </c>
      <c r="G23" s="991">
        <v>117614.916666667</v>
      </c>
      <c r="H23" s="991">
        <f t="shared" si="0"/>
        <v>330407.083333333</v>
      </c>
      <c r="I23" s="991">
        <v>100000</v>
      </c>
      <c r="J23" s="991"/>
      <c r="K23" s="994">
        <f t="shared" si="1"/>
        <v>430407.083333333</v>
      </c>
      <c r="L23" s="995">
        <v>56229.7738666667</v>
      </c>
      <c r="M23" s="995">
        <f t="shared" si="2"/>
        <v>26432.5666666667</v>
      </c>
      <c r="N23" s="995">
        <f t="shared" si="3"/>
        <v>317190.8</v>
      </c>
      <c r="O23" s="996">
        <f t="shared" si="4"/>
        <v>347744.7428</v>
      </c>
    </row>
    <row r="24" ht="30" customHeight="1" spans="1:15">
      <c r="A24" s="279">
        <v>20</v>
      </c>
      <c r="B24" s="987" t="s">
        <v>744</v>
      </c>
      <c r="C24" s="987" t="s">
        <v>745</v>
      </c>
      <c r="D24" s="987" t="s">
        <v>746</v>
      </c>
      <c r="E24" s="987" t="s">
        <v>723</v>
      </c>
      <c r="F24" s="991">
        <v>212792.166666667</v>
      </c>
      <c r="G24" s="991">
        <v>117614.916666667</v>
      </c>
      <c r="H24" s="991">
        <f t="shared" si="0"/>
        <v>330407.083333333</v>
      </c>
      <c r="I24" s="991"/>
      <c r="J24" s="991">
        <v>60000</v>
      </c>
      <c r="K24" s="994">
        <f t="shared" si="1"/>
        <v>390407.083333333</v>
      </c>
      <c r="L24" s="995">
        <v>48549.7738666667</v>
      </c>
      <c r="M24" s="995">
        <f t="shared" si="2"/>
        <v>26432.5666666667</v>
      </c>
      <c r="N24" s="995">
        <f t="shared" si="3"/>
        <v>317190.8</v>
      </c>
      <c r="O24" s="996">
        <f t="shared" si="4"/>
        <v>315424.7428</v>
      </c>
    </row>
    <row r="25" ht="30" customHeight="1" spans="1:15">
      <c r="A25" s="279">
        <v>21</v>
      </c>
      <c r="B25" s="987" t="s">
        <v>747</v>
      </c>
      <c r="C25" s="987" t="s">
        <v>745</v>
      </c>
      <c r="D25" s="987" t="s">
        <v>738</v>
      </c>
      <c r="E25" s="987" t="s">
        <v>723</v>
      </c>
      <c r="F25" s="991">
        <v>212792.166666667</v>
      </c>
      <c r="G25" s="991">
        <v>117614.916666667</v>
      </c>
      <c r="H25" s="991">
        <f t="shared" si="0"/>
        <v>330407.083333333</v>
      </c>
      <c r="I25" s="991">
        <v>100000</v>
      </c>
      <c r="J25" s="991"/>
      <c r="K25" s="994">
        <f t="shared" si="1"/>
        <v>430407.083333333</v>
      </c>
      <c r="L25" s="995">
        <v>56229.7738666667</v>
      </c>
      <c r="M25" s="995">
        <f t="shared" si="2"/>
        <v>26432.5666666667</v>
      </c>
      <c r="N25" s="995">
        <f t="shared" si="3"/>
        <v>317190.8</v>
      </c>
      <c r="O25" s="996">
        <f t="shared" si="4"/>
        <v>347744.7428</v>
      </c>
    </row>
    <row r="26" ht="30" customHeight="1" spans="1:15">
      <c r="A26" s="279">
        <v>22</v>
      </c>
      <c r="B26" s="987" t="s">
        <v>748</v>
      </c>
      <c r="C26" s="987" t="s">
        <v>620</v>
      </c>
      <c r="D26" s="987" t="s">
        <v>749</v>
      </c>
      <c r="E26" s="987" t="s">
        <v>720</v>
      </c>
      <c r="F26" s="991">
        <v>187994.416666667</v>
      </c>
      <c r="G26" s="991">
        <v>99896.5</v>
      </c>
      <c r="H26" s="991">
        <f t="shared" si="0"/>
        <v>287890.916666667</v>
      </c>
      <c r="I26" s="991"/>
      <c r="J26" s="991">
        <v>50000</v>
      </c>
      <c r="K26" s="994">
        <f t="shared" si="1"/>
        <v>337890.916666667</v>
      </c>
      <c r="L26" s="995">
        <v>40063.0867466667</v>
      </c>
      <c r="M26" s="995">
        <f t="shared" si="2"/>
        <v>23031.2733333333</v>
      </c>
      <c r="N26" s="995">
        <f t="shared" si="3"/>
        <v>276375.28</v>
      </c>
      <c r="O26" s="996">
        <f t="shared" si="4"/>
        <v>274796.556586667</v>
      </c>
    </row>
    <row r="27" ht="30" customHeight="1" spans="1:15">
      <c r="A27" s="279">
        <v>23</v>
      </c>
      <c r="B27" s="987" t="s">
        <v>750</v>
      </c>
      <c r="C27" s="987" t="s">
        <v>735</v>
      </c>
      <c r="D27" s="987" t="s">
        <v>751</v>
      </c>
      <c r="E27" s="987" t="s">
        <v>720</v>
      </c>
      <c r="F27" s="991">
        <v>187994.416666667</v>
      </c>
      <c r="G27" s="991">
        <v>99896.5</v>
      </c>
      <c r="H27" s="991">
        <f t="shared" si="0"/>
        <v>287890.916666667</v>
      </c>
      <c r="I27" s="991"/>
      <c r="J27" s="991">
        <v>50000</v>
      </c>
      <c r="K27" s="994">
        <f t="shared" si="1"/>
        <v>337890.916666667</v>
      </c>
      <c r="L27" s="995">
        <v>40063.0867466667</v>
      </c>
      <c r="M27" s="995">
        <f t="shared" si="2"/>
        <v>23031.2733333333</v>
      </c>
      <c r="N27" s="995">
        <f t="shared" si="3"/>
        <v>276375.28</v>
      </c>
      <c r="O27" s="996">
        <f t="shared" si="4"/>
        <v>274796.556586667</v>
      </c>
    </row>
    <row r="28" ht="30" customHeight="1" spans="1:15">
      <c r="A28" s="279">
        <v>24</v>
      </c>
      <c r="B28" s="987" t="s">
        <v>752</v>
      </c>
      <c r="C28" s="987" t="s">
        <v>735</v>
      </c>
      <c r="D28" s="987" t="s">
        <v>753</v>
      </c>
      <c r="E28" s="987" t="s">
        <v>720</v>
      </c>
      <c r="F28" s="991">
        <v>187994.416666667</v>
      </c>
      <c r="G28" s="991">
        <v>99896.5</v>
      </c>
      <c r="H28" s="991">
        <f t="shared" si="0"/>
        <v>287890.916666667</v>
      </c>
      <c r="I28" s="991"/>
      <c r="J28" s="991">
        <v>50000</v>
      </c>
      <c r="K28" s="994">
        <f t="shared" si="1"/>
        <v>337890.916666667</v>
      </c>
      <c r="L28" s="995">
        <v>40063.0867466667</v>
      </c>
      <c r="M28" s="995">
        <f t="shared" si="2"/>
        <v>23031.2733333333</v>
      </c>
      <c r="N28" s="995">
        <f t="shared" si="3"/>
        <v>276375.28</v>
      </c>
      <c r="O28" s="996">
        <f t="shared" si="4"/>
        <v>274796.556586667</v>
      </c>
    </row>
    <row r="29" ht="30" customHeight="1" spans="1:15">
      <c r="A29" s="279"/>
      <c r="B29" s="987"/>
      <c r="C29" s="987"/>
      <c r="D29" s="987"/>
      <c r="E29" s="987"/>
      <c r="F29" s="991"/>
      <c r="G29" s="991"/>
      <c r="H29" s="991"/>
      <c r="I29" s="991"/>
      <c r="J29" s="991"/>
      <c r="K29" s="997">
        <f>SUM(K5:K28)</f>
        <v>11293809.6566667</v>
      </c>
      <c r="L29" s="997">
        <f>SUM(L5:L28)</f>
        <v>1522444.9928</v>
      </c>
      <c r="M29" s="997">
        <f>SUM(M5:M28)</f>
        <v>727222.253333333</v>
      </c>
      <c r="N29" s="997"/>
      <c r="O29" s="997">
        <f>SUM(O5:O28)</f>
        <v>9044142.41053333</v>
      </c>
    </row>
    <row r="30" ht="13" spans="2:14">
      <c r="B30" s="802"/>
      <c r="C30" s="802"/>
      <c r="D30" s="802"/>
      <c r="E30" s="802"/>
      <c r="F30" s="802"/>
      <c r="G30" s="802"/>
      <c r="H30" s="802"/>
      <c r="I30" s="802"/>
      <c r="J30" s="802"/>
      <c r="K30" s="802"/>
      <c r="L30" s="263"/>
      <c r="M30" s="263"/>
      <c r="N30" s="263"/>
    </row>
    <row r="31" spans="15:15">
      <c r="O31" s="411">
        <f>MEMO!I41</f>
        <v>0</v>
      </c>
    </row>
  </sheetData>
  <mergeCells count="2">
    <mergeCell ref="A1:O1"/>
    <mergeCell ref="A2:O2"/>
  </mergeCells>
  <pageMargins left="0.75" right="0.75" top="1" bottom="1" header="0.5" footer="0.5"/>
  <pageSetup paperSize="256" scale="71" orientation="landscape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66"/>
  <sheetViews>
    <sheetView topLeftCell="A4" workbookViewId="0">
      <selection activeCell="X13" sqref="X13"/>
    </sheetView>
  </sheetViews>
  <sheetFormatPr defaultColWidth="9.13636363636364" defaultRowHeight="12.5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6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928" t="s">
        <v>616</v>
      </c>
    </row>
    <row r="5" ht="15" spans="1:29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479"/>
      <c r="AB5" s="479"/>
      <c r="AC5" s="479"/>
    </row>
    <row r="6" ht="13" spans="1:29">
      <c r="A6" s="464">
        <v>1</v>
      </c>
      <c r="B6" s="987" t="s">
        <v>702</v>
      </c>
      <c r="C6" s="465">
        <v>780713.916666667</v>
      </c>
      <c r="D6" s="466">
        <v>12</v>
      </c>
      <c r="E6" s="467">
        <f t="shared" ref="E6:E36" si="0">C6*D6</f>
        <v>9368567</v>
      </c>
      <c r="F6" s="467"/>
      <c r="G6" s="467">
        <v>672685.36</v>
      </c>
      <c r="H6" s="467"/>
      <c r="I6" s="467">
        <f t="shared" ref="I6:I36" si="1">E6-F6-G6-H6</f>
        <v>8695881.64</v>
      </c>
      <c r="J6" s="467">
        <v>200000</v>
      </c>
      <c r="K6" s="467">
        <v>0.2</v>
      </c>
      <c r="L6" s="467">
        <f t="shared" ref="L6:L36" si="2">I6*K6</f>
        <v>1739176.328</v>
      </c>
      <c r="M6" s="467">
        <f t="shared" ref="M6:M36" si="3">J6+L6</f>
        <v>1939176.328</v>
      </c>
      <c r="N6" s="467">
        <f t="shared" ref="N6:N36" si="4">F6+G6+H6+M6</f>
        <v>2611861.688</v>
      </c>
      <c r="O6" s="467">
        <f t="shared" ref="O6:O36" si="5">E6-N6</f>
        <v>6756705.312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853609.27488</v>
      </c>
      <c r="V6" s="467">
        <f t="shared" ref="V6:V36" si="12">P6+Q6+R6+S6+T6+U6</f>
        <v>1413609.27488</v>
      </c>
      <c r="W6" s="474">
        <v>12</v>
      </c>
      <c r="X6" s="467">
        <f t="shared" ref="X6:X36" si="13">V6/W6</f>
        <v>117800.772906667</v>
      </c>
      <c r="Y6" s="467"/>
      <c r="Z6" s="929">
        <f t="shared" ref="Z6:Z36" si="14">X6</f>
        <v>117800.772906667</v>
      </c>
      <c r="AA6" s="479"/>
      <c r="AB6" s="479"/>
      <c r="AC6" s="479"/>
    </row>
    <row r="7" ht="13" spans="1:29">
      <c r="A7" s="464">
        <v>2</v>
      </c>
      <c r="B7" s="987" t="s">
        <v>705</v>
      </c>
      <c r="C7" s="465">
        <v>860713.916666667</v>
      </c>
      <c r="D7" s="466">
        <v>12</v>
      </c>
      <c r="E7" s="467">
        <f t="shared" si="0"/>
        <v>10328567</v>
      </c>
      <c r="F7" s="467"/>
      <c r="G7" s="467">
        <v>672685.36</v>
      </c>
      <c r="H7" s="467"/>
      <c r="I7" s="467">
        <f t="shared" si="1"/>
        <v>9655881.64</v>
      </c>
      <c r="J7" s="467">
        <v>200000</v>
      </c>
      <c r="K7" s="467">
        <v>0.2</v>
      </c>
      <c r="L7" s="467">
        <f t="shared" si="2"/>
        <v>1931176.328</v>
      </c>
      <c r="M7" s="467">
        <f t="shared" si="3"/>
        <v>2131176.328</v>
      </c>
      <c r="N7" s="467">
        <f t="shared" si="4"/>
        <v>2803861.688</v>
      </c>
      <c r="O7" s="467">
        <f t="shared" si="5"/>
        <v>7524705.312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1037929.27488</v>
      </c>
      <c r="V7" s="467">
        <f t="shared" si="12"/>
        <v>1597929.27488</v>
      </c>
      <c r="W7" s="474">
        <v>12</v>
      </c>
      <c r="X7" s="467">
        <f t="shared" si="13"/>
        <v>133160.772906667</v>
      </c>
      <c r="Y7" s="467"/>
      <c r="Z7" s="929">
        <f t="shared" si="14"/>
        <v>133160.772906667</v>
      </c>
      <c r="AA7" s="479"/>
      <c r="AB7" s="479"/>
      <c r="AC7" s="479"/>
    </row>
    <row r="8" ht="13" spans="1:29">
      <c r="A8" s="464">
        <v>3</v>
      </c>
      <c r="B8" s="987" t="s">
        <v>707</v>
      </c>
      <c r="C8" s="465">
        <v>860713.916666667</v>
      </c>
      <c r="D8" s="466">
        <v>12</v>
      </c>
      <c r="E8" s="467">
        <f t="shared" si="0"/>
        <v>10328567</v>
      </c>
      <c r="F8" s="467"/>
      <c r="G8" s="467">
        <v>672685.36</v>
      </c>
      <c r="H8" s="467"/>
      <c r="I8" s="467">
        <f t="shared" si="1"/>
        <v>9655881.64</v>
      </c>
      <c r="J8" s="467">
        <v>200000</v>
      </c>
      <c r="K8" s="467">
        <v>0.2</v>
      </c>
      <c r="L8" s="467">
        <f t="shared" si="2"/>
        <v>1931176.328</v>
      </c>
      <c r="M8" s="467">
        <f t="shared" si="3"/>
        <v>2131176.328</v>
      </c>
      <c r="N8" s="467">
        <f t="shared" si="4"/>
        <v>2803861.688</v>
      </c>
      <c r="O8" s="467">
        <f t="shared" si="5"/>
        <v>7524705.312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1037929.27488</v>
      </c>
      <c r="V8" s="467">
        <f t="shared" si="12"/>
        <v>1597929.27488</v>
      </c>
      <c r="W8" s="474">
        <v>12</v>
      </c>
      <c r="X8" s="467">
        <f t="shared" si="13"/>
        <v>133160.772906667</v>
      </c>
      <c r="Y8" s="467"/>
      <c r="Z8" s="929">
        <f t="shared" si="14"/>
        <v>133160.772906667</v>
      </c>
      <c r="AA8" s="479"/>
      <c r="AB8" s="479"/>
      <c r="AC8" s="479"/>
    </row>
    <row r="9" ht="13" spans="1:29">
      <c r="A9" s="464">
        <v>4</v>
      </c>
      <c r="B9" s="987" t="s">
        <v>709</v>
      </c>
      <c r="C9" s="465">
        <v>596673.583333333</v>
      </c>
      <c r="D9" s="466">
        <v>12</v>
      </c>
      <c r="E9" s="467">
        <f t="shared" si="0"/>
        <v>7160083</v>
      </c>
      <c r="F9" s="467"/>
      <c r="G9" s="467">
        <v>505606.64</v>
      </c>
      <c r="H9" s="467"/>
      <c r="I9" s="467">
        <f t="shared" si="1"/>
        <v>6654476.36</v>
      </c>
      <c r="J9" s="467">
        <v>200000</v>
      </c>
      <c r="K9" s="467">
        <v>0.2</v>
      </c>
      <c r="L9" s="467">
        <f t="shared" si="2"/>
        <v>1330895.272</v>
      </c>
      <c r="M9" s="467">
        <f t="shared" si="3"/>
        <v>1530895.272</v>
      </c>
      <c r="N9" s="467">
        <f t="shared" si="4"/>
        <v>2036501.912</v>
      </c>
      <c r="O9" s="467">
        <f t="shared" si="5"/>
        <v>5123581.088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461659.46112</v>
      </c>
      <c r="V9" s="467">
        <f t="shared" si="12"/>
        <v>1021659.46112</v>
      </c>
      <c r="W9" s="474">
        <v>12</v>
      </c>
      <c r="X9" s="467">
        <f t="shared" si="13"/>
        <v>85138.2884266667</v>
      </c>
      <c r="Y9" s="467"/>
      <c r="Z9" s="929">
        <f t="shared" si="14"/>
        <v>85138.2884266667</v>
      </c>
      <c r="AA9" s="479"/>
      <c r="AB9" s="479"/>
      <c r="AC9" s="479"/>
    </row>
    <row r="10" ht="13" spans="1:29">
      <c r="A10" s="464">
        <v>5</v>
      </c>
      <c r="B10" s="987" t="s">
        <v>713</v>
      </c>
      <c r="C10" s="473">
        <v>599686.49</v>
      </c>
      <c r="D10" s="466">
        <v>12</v>
      </c>
      <c r="E10" s="467">
        <f t="shared" si="0"/>
        <v>7196237.88</v>
      </c>
      <c r="F10" s="467"/>
      <c r="G10" s="467">
        <v>423512.64</v>
      </c>
      <c r="H10" s="467"/>
      <c r="I10" s="467">
        <f t="shared" si="1"/>
        <v>6772725.24</v>
      </c>
      <c r="J10" s="467">
        <v>200000</v>
      </c>
      <c r="K10" s="467">
        <v>0.2</v>
      </c>
      <c r="L10" s="467">
        <f t="shared" si="2"/>
        <v>1354545.048</v>
      </c>
      <c r="M10" s="467">
        <f t="shared" si="3"/>
        <v>1554545.048</v>
      </c>
      <c r="N10" s="467">
        <f t="shared" si="4"/>
        <v>1978057.688</v>
      </c>
      <c r="O10" s="467">
        <f t="shared" si="5"/>
        <v>5218180.192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484363.24608</v>
      </c>
      <c r="V10" s="467">
        <f t="shared" si="12"/>
        <v>1044363.24608</v>
      </c>
      <c r="W10" s="474">
        <v>12</v>
      </c>
      <c r="X10" s="467">
        <f t="shared" si="13"/>
        <v>87030.2705066667</v>
      </c>
      <c r="Y10" s="467"/>
      <c r="Z10" s="929">
        <f t="shared" si="14"/>
        <v>87030.2705066667</v>
      </c>
      <c r="AA10" s="479"/>
      <c r="AB10" s="479"/>
      <c r="AC10" s="479"/>
    </row>
    <row r="11" ht="13" spans="1:29">
      <c r="A11" s="464">
        <v>6</v>
      </c>
      <c r="B11" s="987" t="s">
        <v>717</v>
      </c>
      <c r="C11" s="465">
        <v>337890.916666667</v>
      </c>
      <c r="D11" s="466">
        <v>12</v>
      </c>
      <c r="E11" s="467">
        <f t="shared" si="0"/>
        <v>4054691</v>
      </c>
      <c r="F11" s="467"/>
      <c r="G11" s="467">
        <v>276375.28</v>
      </c>
      <c r="H11" s="467"/>
      <c r="I11" s="467">
        <f t="shared" si="1"/>
        <v>3778315.72</v>
      </c>
      <c r="J11" s="467">
        <v>200000</v>
      </c>
      <c r="K11" s="467">
        <v>0.2</v>
      </c>
      <c r="L11" s="467">
        <f t="shared" si="2"/>
        <v>755663.144</v>
      </c>
      <c r="M11" s="467">
        <f t="shared" si="3"/>
        <v>955663.144</v>
      </c>
      <c r="N11" s="467">
        <f t="shared" si="4"/>
        <v>1232038.424</v>
      </c>
      <c r="O11" s="467">
        <f t="shared" si="5"/>
        <v>2822652.576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256757.04096</v>
      </c>
      <c r="U11" s="467">
        <v>0</v>
      </c>
      <c r="V11" s="467">
        <f t="shared" si="12"/>
        <v>480757.04096</v>
      </c>
      <c r="W11" s="474">
        <v>12</v>
      </c>
      <c r="X11" s="467">
        <f t="shared" si="13"/>
        <v>40063.0867466667</v>
      </c>
      <c r="Y11" s="467"/>
      <c r="Z11" s="929">
        <f t="shared" si="14"/>
        <v>40063.0867466667</v>
      </c>
      <c r="AA11" s="479"/>
      <c r="AB11" s="479"/>
      <c r="AC11" s="479"/>
    </row>
    <row r="12" ht="13" spans="1:29">
      <c r="A12" s="464">
        <v>7</v>
      </c>
      <c r="B12" s="987" t="s">
        <v>721</v>
      </c>
      <c r="C12" s="465">
        <v>430407.083333333</v>
      </c>
      <c r="D12" s="466">
        <v>12</v>
      </c>
      <c r="E12" s="467">
        <f t="shared" si="0"/>
        <v>5164885</v>
      </c>
      <c r="F12" s="467"/>
      <c r="G12" s="467">
        <v>317190.8</v>
      </c>
      <c r="H12" s="467"/>
      <c r="I12" s="467">
        <f t="shared" si="1"/>
        <v>4847694.2</v>
      </c>
      <c r="J12" s="467">
        <v>200000</v>
      </c>
      <c r="K12" s="467">
        <v>0.2</v>
      </c>
      <c r="L12" s="467">
        <f t="shared" si="2"/>
        <v>969538.84</v>
      </c>
      <c r="M12" s="467">
        <f t="shared" si="3"/>
        <v>1169538.84</v>
      </c>
      <c r="N12" s="467">
        <f t="shared" si="4"/>
        <v>1486729.64</v>
      </c>
      <c r="O12" s="467">
        <f t="shared" si="5"/>
        <v>3678155.36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114757.2864</v>
      </c>
      <c r="V12" s="467">
        <f t="shared" si="12"/>
        <v>674757.2864</v>
      </c>
      <c r="W12" s="474">
        <v>12</v>
      </c>
      <c r="X12" s="467">
        <f t="shared" si="13"/>
        <v>56229.7738666667</v>
      </c>
      <c r="Y12" s="467"/>
      <c r="Z12" s="929">
        <f t="shared" si="14"/>
        <v>56229.7738666667</v>
      </c>
      <c r="AA12" s="479"/>
      <c r="AB12" s="479"/>
      <c r="AC12" s="479"/>
    </row>
    <row r="13" ht="13" spans="1:29">
      <c r="A13" s="464">
        <v>8</v>
      </c>
      <c r="B13" s="987" t="s">
        <v>724</v>
      </c>
      <c r="C13" s="465">
        <v>419558.916666667</v>
      </c>
      <c r="D13" s="466">
        <v>12</v>
      </c>
      <c r="E13" s="467">
        <f t="shared" si="0"/>
        <v>5034707</v>
      </c>
      <c r="F13" s="467"/>
      <c r="G13" s="467">
        <v>276375.28</v>
      </c>
      <c r="H13" s="467"/>
      <c r="I13" s="467">
        <f t="shared" si="1"/>
        <v>4758331.72</v>
      </c>
      <c r="J13" s="467">
        <v>200000</v>
      </c>
      <c r="K13" s="467">
        <v>0.2</v>
      </c>
      <c r="L13" s="467">
        <f t="shared" si="2"/>
        <v>951666.344</v>
      </c>
      <c r="M13" s="467">
        <f t="shared" si="3"/>
        <v>1151666.344</v>
      </c>
      <c r="N13" s="467">
        <f t="shared" si="4"/>
        <v>1428041.624</v>
      </c>
      <c r="O13" s="467">
        <f t="shared" si="5"/>
        <v>3606665.376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97599.69024</v>
      </c>
      <c r="V13" s="467">
        <f t="shared" si="12"/>
        <v>657599.69024</v>
      </c>
      <c r="W13" s="474">
        <v>12</v>
      </c>
      <c r="X13" s="467">
        <f t="shared" si="13"/>
        <v>54799.9741866667</v>
      </c>
      <c r="Y13" s="467"/>
      <c r="Z13" s="929">
        <f t="shared" si="14"/>
        <v>54799.9741866667</v>
      </c>
      <c r="AA13" s="479"/>
      <c r="AB13" s="479"/>
      <c r="AC13" s="479"/>
    </row>
    <row r="14" ht="13" spans="1:29">
      <c r="A14" s="464">
        <v>9</v>
      </c>
      <c r="B14" s="987" t="s">
        <v>726</v>
      </c>
      <c r="C14" s="465">
        <v>419558.916666667</v>
      </c>
      <c r="D14" s="466">
        <v>12</v>
      </c>
      <c r="E14" s="467">
        <f t="shared" si="0"/>
        <v>5034707</v>
      </c>
      <c r="F14" s="467"/>
      <c r="G14" s="467">
        <v>276375.28</v>
      </c>
      <c r="H14" s="467"/>
      <c r="I14" s="467">
        <f t="shared" si="1"/>
        <v>4758331.72</v>
      </c>
      <c r="J14" s="467">
        <v>200000</v>
      </c>
      <c r="K14" s="467">
        <v>0.2</v>
      </c>
      <c r="L14" s="467">
        <f t="shared" si="2"/>
        <v>951666.344</v>
      </c>
      <c r="M14" s="467">
        <f t="shared" si="3"/>
        <v>1151666.344</v>
      </c>
      <c r="N14" s="467">
        <f t="shared" si="4"/>
        <v>1428041.624</v>
      </c>
      <c r="O14" s="467">
        <f t="shared" si="5"/>
        <v>3606665.376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97599.69024</v>
      </c>
      <c r="V14" s="467">
        <f t="shared" si="12"/>
        <v>657599.69024</v>
      </c>
      <c r="W14" s="474">
        <v>12</v>
      </c>
      <c r="X14" s="467">
        <f t="shared" si="13"/>
        <v>54799.9741866667</v>
      </c>
      <c r="Y14" s="467"/>
      <c r="Z14" s="929">
        <f t="shared" si="14"/>
        <v>54799.9741866667</v>
      </c>
      <c r="AA14" s="479"/>
      <c r="AB14" s="479"/>
      <c r="AC14" s="479"/>
    </row>
    <row r="15" ht="13" spans="1:29">
      <c r="A15" s="464">
        <v>10</v>
      </c>
      <c r="B15" s="987" t="s">
        <v>727</v>
      </c>
      <c r="C15" s="465">
        <v>337890.916666667</v>
      </c>
      <c r="D15" s="466">
        <v>12</v>
      </c>
      <c r="E15" s="467">
        <f t="shared" si="0"/>
        <v>4054691</v>
      </c>
      <c r="F15" s="467"/>
      <c r="G15" s="468">
        <v>276375.28</v>
      </c>
      <c r="H15" s="467"/>
      <c r="I15" s="467">
        <f t="shared" si="1"/>
        <v>3778315.72</v>
      </c>
      <c r="J15" s="467">
        <v>200000</v>
      </c>
      <c r="K15" s="467">
        <v>0.2</v>
      </c>
      <c r="L15" s="467">
        <f t="shared" si="2"/>
        <v>755663.144</v>
      </c>
      <c r="M15" s="467">
        <f t="shared" si="3"/>
        <v>955663.144</v>
      </c>
      <c r="N15" s="467">
        <f t="shared" si="4"/>
        <v>1232038.424</v>
      </c>
      <c r="O15" s="467">
        <f t="shared" si="5"/>
        <v>2822652.576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256757.04096</v>
      </c>
      <c r="U15" s="467">
        <v>0</v>
      </c>
      <c r="V15" s="467">
        <f t="shared" si="12"/>
        <v>480757.04096</v>
      </c>
      <c r="W15" s="474">
        <v>12</v>
      </c>
      <c r="X15" s="467">
        <f t="shared" si="13"/>
        <v>40063.0867466667</v>
      </c>
      <c r="Y15" s="467"/>
      <c r="Z15" s="929">
        <f t="shared" si="14"/>
        <v>40063.0867466667</v>
      </c>
      <c r="AA15" s="479"/>
      <c r="AB15" s="479"/>
      <c r="AC15" s="479"/>
    </row>
    <row r="16" ht="13" spans="1:29">
      <c r="A16" s="464">
        <v>11</v>
      </c>
      <c r="B16" s="987" t="s">
        <v>728</v>
      </c>
      <c r="C16" s="465">
        <v>419558.916666667</v>
      </c>
      <c r="D16" s="466">
        <v>12</v>
      </c>
      <c r="E16" s="467">
        <f t="shared" si="0"/>
        <v>5034707</v>
      </c>
      <c r="F16" s="467"/>
      <c r="G16" s="467">
        <v>276375.28</v>
      </c>
      <c r="H16" s="467"/>
      <c r="I16" s="467">
        <f t="shared" si="1"/>
        <v>4758331.72</v>
      </c>
      <c r="J16" s="467">
        <v>200000</v>
      </c>
      <c r="K16" s="467">
        <v>0.2</v>
      </c>
      <c r="L16" s="467">
        <f t="shared" si="2"/>
        <v>951666.344</v>
      </c>
      <c r="M16" s="467">
        <f t="shared" si="3"/>
        <v>1151666.344</v>
      </c>
      <c r="N16" s="467">
        <f t="shared" si="4"/>
        <v>1428041.624</v>
      </c>
      <c r="O16" s="467">
        <f t="shared" si="5"/>
        <v>3606665.376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97599.69024</v>
      </c>
      <c r="V16" s="467">
        <f t="shared" si="12"/>
        <v>657599.69024</v>
      </c>
      <c r="W16" s="474">
        <v>12</v>
      </c>
      <c r="X16" s="467">
        <f t="shared" si="13"/>
        <v>54799.9741866667</v>
      </c>
      <c r="Y16" s="467"/>
      <c r="Z16" s="929">
        <f t="shared" si="14"/>
        <v>54799.9741866667</v>
      </c>
      <c r="AA16" s="479"/>
      <c r="AB16" s="479"/>
      <c r="AC16" s="479"/>
    </row>
    <row r="17" ht="13" spans="1:29">
      <c r="A17" s="464">
        <v>12</v>
      </c>
      <c r="B17" s="987" t="s">
        <v>729</v>
      </c>
      <c r="C17" s="465">
        <v>472145.333333333</v>
      </c>
      <c r="D17" s="466">
        <v>12</v>
      </c>
      <c r="E17" s="467">
        <f t="shared" si="0"/>
        <v>5665744</v>
      </c>
      <c r="F17" s="467"/>
      <c r="G17" s="467">
        <v>357259.52</v>
      </c>
      <c r="H17" s="467"/>
      <c r="I17" s="467">
        <f t="shared" si="1"/>
        <v>5308484.48</v>
      </c>
      <c r="J17" s="467">
        <v>200000</v>
      </c>
      <c r="K17" s="467">
        <v>0.2</v>
      </c>
      <c r="L17" s="467">
        <f t="shared" si="2"/>
        <v>1061696.896</v>
      </c>
      <c r="M17" s="467">
        <f t="shared" si="3"/>
        <v>1261696.896</v>
      </c>
      <c r="N17" s="467">
        <f t="shared" si="4"/>
        <v>1618956.416</v>
      </c>
      <c r="O17" s="467">
        <f t="shared" si="5"/>
        <v>4046787.584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203229.02016</v>
      </c>
      <c r="V17" s="467">
        <f t="shared" si="12"/>
        <v>763229.02016</v>
      </c>
      <c r="W17" s="474">
        <v>12</v>
      </c>
      <c r="X17" s="467">
        <f t="shared" si="13"/>
        <v>63602.4183466667</v>
      </c>
      <c r="Y17" s="467"/>
      <c r="Z17" s="929">
        <f t="shared" si="14"/>
        <v>63602.4183466667</v>
      </c>
      <c r="AA17" s="479"/>
      <c r="AB17" s="479"/>
      <c r="AC17" s="479"/>
    </row>
    <row r="18" ht="13" spans="1:29">
      <c r="A18" s="464">
        <v>13</v>
      </c>
      <c r="B18" s="987" t="s">
        <v>732</v>
      </c>
      <c r="C18" s="465">
        <v>432145.333333333</v>
      </c>
      <c r="D18" s="466">
        <v>12</v>
      </c>
      <c r="E18" s="467">
        <f t="shared" si="0"/>
        <v>5185744</v>
      </c>
      <c r="F18" s="467"/>
      <c r="G18" s="467">
        <v>357259.52</v>
      </c>
      <c r="H18" s="467"/>
      <c r="I18" s="467">
        <f t="shared" si="1"/>
        <v>4828484.48</v>
      </c>
      <c r="J18" s="467">
        <v>200000</v>
      </c>
      <c r="K18" s="467">
        <v>0.2</v>
      </c>
      <c r="L18" s="467">
        <f t="shared" si="2"/>
        <v>965696.896</v>
      </c>
      <c r="M18" s="467">
        <f t="shared" si="3"/>
        <v>1165696.896</v>
      </c>
      <c r="N18" s="467">
        <f t="shared" si="4"/>
        <v>1522956.416</v>
      </c>
      <c r="O18" s="467">
        <f t="shared" si="5"/>
        <v>3662787.584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111069.02016</v>
      </c>
      <c r="V18" s="467">
        <f t="shared" si="12"/>
        <v>671069.02016</v>
      </c>
      <c r="W18" s="474">
        <v>12</v>
      </c>
      <c r="X18" s="467">
        <f t="shared" si="13"/>
        <v>55922.4183466667</v>
      </c>
      <c r="Y18" s="467"/>
      <c r="Z18" s="929">
        <f t="shared" si="14"/>
        <v>55922.4183466667</v>
      </c>
      <c r="AA18" s="479"/>
      <c r="AB18" s="479"/>
      <c r="AC18" s="479"/>
    </row>
    <row r="19" ht="13" spans="1:29">
      <c r="A19" s="464">
        <v>14</v>
      </c>
      <c r="B19" s="987" t="s">
        <v>734</v>
      </c>
      <c r="C19" s="465">
        <v>432145.333333333</v>
      </c>
      <c r="D19" s="466">
        <v>12</v>
      </c>
      <c r="E19" s="467">
        <f t="shared" si="0"/>
        <v>5185744</v>
      </c>
      <c r="F19" s="467"/>
      <c r="G19" s="467">
        <v>357259.52</v>
      </c>
      <c r="H19" s="467"/>
      <c r="I19" s="467">
        <f t="shared" si="1"/>
        <v>4828484.48</v>
      </c>
      <c r="J19" s="467">
        <v>200000</v>
      </c>
      <c r="K19" s="467">
        <v>0.2</v>
      </c>
      <c r="L19" s="467">
        <f t="shared" si="2"/>
        <v>965696.896</v>
      </c>
      <c r="M19" s="467">
        <f t="shared" si="3"/>
        <v>1165696.896</v>
      </c>
      <c r="N19" s="467">
        <f t="shared" si="4"/>
        <v>1522956.416</v>
      </c>
      <c r="O19" s="467">
        <f t="shared" si="5"/>
        <v>3662787.584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111069.02016</v>
      </c>
      <c r="V19" s="467">
        <f t="shared" si="12"/>
        <v>671069.02016</v>
      </c>
      <c r="W19" s="474">
        <v>12</v>
      </c>
      <c r="X19" s="467">
        <f t="shared" si="13"/>
        <v>55922.4183466667</v>
      </c>
      <c r="Y19" s="467"/>
      <c r="Z19" s="929">
        <f t="shared" si="14"/>
        <v>55922.4183466667</v>
      </c>
      <c r="AA19" s="479"/>
      <c r="AB19" s="479"/>
      <c r="AC19" s="479"/>
    </row>
    <row r="20" ht="13" spans="1:29">
      <c r="A20" s="464">
        <v>15</v>
      </c>
      <c r="B20" s="987" t="s">
        <v>737</v>
      </c>
      <c r="C20" s="465">
        <v>430407.083333333</v>
      </c>
      <c r="D20" s="466">
        <v>12</v>
      </c>
      <c r="E20" s="467">
        <f t="shared" si="0"/>
        <v>5164885</v>
      </c>
      <c r="F20" s="467"/>
      <c r="G20" s="467">
        <v>317190.8</v>
      </c>
      <c r="H20" s="467"/>
      <c r="I20" s="467">
        <f t="shared" si="1"/>
        <v>4847694.2</v>
      </c>
      <c r="J20" s="467">
        <v>200000</v>
      </c>
      <c r="K20" s="467">
        <v>0.2</v>
      </c>
      <c r="L20" s="467">
        <f t="shared" si="2"/>
        <v>969538.84</v>
      </c>
      <c r="M20" s="467">
        <f t="shared" si="3"/>
        <v>1169538.84</v>
      </c>
      <c r="N20" s="467">
        <f t="shared" si="4"/>
        <v>1486729.64</v>
      </c>
      <c r="O20" s="467">
        <f t="shared" si="5"/>
        <v>3678155.36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114757.2864</v>
      </c>
      <c r="V20" s="467">
        <f t="shared" si="12"/>
        <v>674757.2864</v>
      </c>
      <c r="W20" s="474">
        <v>12</v>
      </c>
      <c r="X20" s="467">
        <f t="shared" si="13"/>
        <v>56229.7738666667</v>
      </c>
      <c r="Y20" s="467"/>
      <c r="Z20" s="929">
        <f t="shared" si="14"/>
        <v>56229.7738666667</v>
      </c>
      <c r="AA20" s="479"/>
      <c r="AB20" s="479"/>
      <c r="AC20" s="479"/>
    </row>
    <row r="21" ht="13" spans="1:29">
      <c r="A21" s="464">
        <v>16</v>
      </c>
      <c r="B21" s="987" t="s">
        <v>739</v>
      </c>
      <c r="C21" s="465">
        <v>430407.083333333</v>
      </c>
      <c r="D21" s="466">
        <v>12</v>
      </c>
      <c r="E21" s="467">
        <f t="shared" si="0"/>
        <v>5164885</v>
      </c>
      <c r="F21" s="467"/>
      <c r="G21" s="467">
        <v>317190.8</v>
      </c>
      <c r="H21" s="467"/>
      <c r="I21" s="467">
        <f t="shared" si="1"/>
        <v>4847694.2</v>
      </c>
      <c r="J21" s="467">
        <v>200000</v>
      </c>
      <c r="K21" s="467">
        <v>0.2</v>
      </c>
      <c r="L21" s="467">
        <f t="shared" si="2"/>
        <v>969538.84</v>
      </c>
      <c r="M21" s="467">
        <f t="shared" si="3"/>
        <v>1169538.84</v>
      </c>
      <c r="N21" s="467">
        <f t="shared" si="4"/>
        <v>1486729.64</v>
      </c>
      <c r="O21" s="467">
        <f t="shared" si="5"/>
        <v>3678155.36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114757.2864</v>
      </c>
      <c r="V21" s="467">
        <f t="shared" si="12"/>
        <v>674757.2864</v>
      </c>
      <c r="W21" s="474">
        <v>12</v>
      </c>
      <c r="X21" s="467">
        <f t="shared" si="13"/>
        <v>56229.7738666667</v>
      </c>
      <c r="Y21" s="467"/>
      <c r="Z21" s="929">
        <f t="shared" si="14"/>
        <v>56229.7738666667</v>
      </c>
      <c r="AA21" s="479"/>
      <c r="AB21" s="479"/>
      <c r="AC21" s="479"/>
    </row>
    <row r="22" ht="13" spans="1:29">
      <c r="A22" s="464">
        <v>17</v>
      </c>
      <c r="B22" s="987" t="s">
        <v>740</v>
      </c>
      <c r="C22" s="465">
        <v>337890.916666667</v>
      </c>
      <c r="D22" s="466">
        <v>12</v>
      </c>
      <c r="E22" s="467">
        <f t="shared" si="0"/>
        <v>4054691</v>
      </c>
      <c r="F22" s="467"/>
      <c r="G22" s="467">
        <v>276375.28</v>
      </c>
      <c r="H22" s="467"/>
      <c r="I22" s="467">
        <f t="shared" si="1"/>
        <v>3778315.72</v>
      </c>
      <c r="J22" s="467">
        <v>200000</v>
      </c>
      <c r="K22" s="467">
        <v>0.2</v>
      </c>
      <c r="L22" s="467">
        <f t="shared" si="2"/>
        <v>755663.144</v>
      </c>
      <c r="M22" s="467">
        <f t="shared" si="3"/>
        <v>955663.144</v>
      </c>
      <c r="N22" s="467">
        <f t="shared" si="4"/>
        <v>1232038.424</v>
      </c>
      <c r="O22" s="467">
        <f t="shared" si="5"/>
        <v>2822652.576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256757.04096</v>
      </c>
      <c r="U22" s="467">
        <v>0</v>
      </c>
      <c r="V22" s="467">
        <f t="shared" si="12"/>
        <v>480757.04096</v>
      </c>
      <c r="W22" s="474">
        <v>12</v>
      </c>
      <c r="X22" s="467">
        <f t="shared" si="13"/>
        <v>40063.0867466667</v>
      </c>
      <c r="Y22" s="467"/>
      <c r="Z22" s="929">
        <f t="shared" si="14"/>
        <v>40063.0867466667</v>
      </c>
      <c r="AA22" s="479"/>
      <c r="AB22" s="479"/>
      <c r="AC22" s="479"/>
    </row>
    <row r="23" ht="13" spans="1:29">
      <c r="A23" s="464">
        <v>18</v>
      </c>
      <c r="B23" s="988" t="s">
        <v>742</v>
      </c>
      <c r="C23" s="465">
        <v>430407.083333333</v>
      </c>
      <c r="D23" s="466">
        <v>12</v>
      </c>
      <c r="E23" s="467">
        <f t="shared" si="0"/>
        <v>5164885</v>
      </c>
      <c r="F23" s="467"/>
      <c r="G23" s="467">
        <v>317190.8</v>
      </c>
      <c r="H23" s="467"/>
      <c r="I23" s="467">
        <f t="shared" si="1"/>
        <v>4847694.2</v>
      </c>
      <c r="J23" s="467">
        <v>200000</v>
      </c>
      <c r="K23" s="467">
        <v>0.2</v>
      </c>
      <c r="L23" s="467">
        <f t="shared" si="2"/>
        <v>969538.84</v>
      </c>
      <c r="M23" s="467">
        <f t="shared" si="3"/>
        <v>1169538.84</v>
      </c>
      <c r="N23" s="467">
        <f t="shared" si="4"/>
        <v>1486729.64</v>
      </c>
      <c r="O23" s="467">
        <f t="shared" si="5"/>
        <v>3678155.36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114757.2864</v>
      </c>
      <c r="V23" s="467">
        <f t="shared" si="12"/>
        <v>674757.2864</v>
      </c>
      <c r="W23" s="474">
        <v>12</v>
      </c>
      <c r="X23" s="467">
        <f t="shared" si="13"/>
        <v>56229.7738666667</v>
      </c>
      <c r="Y23" s="467"/>
      <c r="Z23" s="929">
        <f t="shared" si="14"/>
        <v>56229.7738666667</v>
      </c>
      <c r="AA23" s="479"/>
      <c r="AB23" s="479"/>
      <c r="AC23" s="479"/>
    </row>
    <row r="24" ht="13" spans="1:29">
      <c r="A24" s="464">
        <v>19</v>
      </c>
      <c r="B24" s="988" t="s">
        <v>743</v>
      </c>
      <c r="C24" s="465">
        <v>430407.083333333</v>
      </c>
      <c r="D24" s="466">
        <v>12</v>
      </c>
      <c r="E24" s="467">
        <f t="shared" si="0"/>
        <v>5164885</v>
      </c>
      <c r="F24" s="467"/>
      <c r="G24" s="467">
        <v>317190.8</v>
      </c>
      <c r="H24" s="467"/>
      <c r="I24" s="467">
        <f t="shared" si="1"/>
        <v>4847694.2</v>
      </c>
      <c r="J24" s="467">
        <v>200000</v>
      </c>
      <c r="K24" s="467">
        <v>0.2</v>
      </c>
      <c r="L24" s="467">
        <f t="shared" si="2"/>
        <v>969538.84</v>
      </c>
      <c r="M24" s="467">
        <f t="shared" si="3"/>
        <v>1169538.84</v>
      </c>
      <c r="N24" s="467">
        <f t="shared" si="4"/>
        <v>1486729.64</v>
      </c>
      <c r="O24" s="467">
        <f t="shared" si="5"/>
        <v>3678155.36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114757.2864</v>
      </c>
      <c r="V24" s="467">
        <f t="shared" si="12"/>
        <v>674757.2864</v>
      </c>
      <c r="W24" s="474">
        <v>12</v>
      </c>
      <c r="X24" s="467">
        <f t="shared" si="13"/>
        <v>56229.7738666667</v>
      </c>
      <c r="Y24" s="467"/>
      <c r="Z24" s="929">
        <f t="shared" si="14"/>
        <v>56229.7738666667</v>
      </c>
      <c r="AA24" s="479"/>
      <c r="AB24" s="479"/>
      <c r="AC24" s="479"/>
    </row>
    <row r="25" ht="13" spans="1:29">
      <c r="A25" s="464">
        <v>20</v>
      </c>
      <c r="B25" s="987" t="s">
        <v>744</v>
      </c>
      <c r="C25" s="465">
        <v>390407.083333333</v>
      </c>
      <c r="D25" s="466">
        <v>12</v>
      </c>
      <c r="E25" s="467">
        <f t="shared" si="0"/>
        <v>4684885</v>
      </c>
      <c r="F25" s="467"/>
      <c r="G25" s="467">
        <v>317190.8</v>
      </c>
      <c r="H25" s="467"/>
      <c r="I25" s="467">
        <f t="shared" si="1"/>
        <v>4367694.2</v>
      </c>
      <c r="J25" s="467">
        <v>200000</v>
      </c>
      <c r="K25" s="467">
        <v>0.2</v>
      </c>
      <c r="L25" s="467">
        <f t="shared" si="2"/>
        <v>873538.84</v>
      </c>
      <c r="M25" s="467">
        <f t="shared" si="3"/>
        <v>1073538.84</v>
      </c>
      <c r="N25" s="467">
        <f t="shared" si="4"/>
        <v>1390729.64</v>
      </c>
      <c r="O25" s="467">
        <f t="shared" si="5"/>
        <v>3294155.36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22597.2864</v>
      </c>
      <c r="V25" s="467">
        <f t="shared" si="12"/>
        <v>582597.2864</v>
      </c>
      <c r="W25" s="474">
        <v>12</v>
      </c>
      <c r="X25" s="467">
        <f t="shared" si="13"/>
        <v>48549.7738666667</v>
      </c>
      <c r="Y25" s="467"/>
      <c r="Z25" s="929">
        <f t="shared" si="14"/>
        <v>48549.7738666667</v>
      </c>
      <c r="AA25" s="479"/>
      <c r="AB25" s="479"/>
      <c r="AC25" s="479"/>
    </row>
    <row r="26" ht="13" spans="1:29">
      <c r="A26" s="464">
        <v>21</v>
      </c>
      <c r="B26" s="987" t="s">
        <v>747</v>
      </c>
      <c r="C26" s="465">
        <v>430407.083333333</v>
      </c>
      <c r="D26" s="466">
        <v>12</v>
      </c>
      <c r="E26" s="467">
        <f t="shared" si="0"/>
        <v>5164885</v>
      </c>
      <c r="F26" s="467"/>
      <c r="G26" s="467">
        <v>317190.8</v>
      </c>
      <c r="H26" s="467"/>
      <c r="I26" s="467">
        <f t="shared" si="1"/>
        <v>4847694.2</v>
      </c>
      <c r="J26" s="467">
        <v>200000</v>
      </c>
      <c r="K26" s="467">
        <v>0.2</v>
      </c>
      <c r="L26" s="467">
        <f t="shared" si="2"/>
        <v>969538.84</v>
      </c>
      <c r="M26" s="467">
        <f t="shared" si="3"/>
        <v>1169538.84</v>
      </c>
      <c r="N26" s="467">
        <f t="shared" si="4"/>
        <v>1486729.64</v>
      </c>
      <c r="O26" s="467">
        <f t="shared" si="5"/>
        <v>3678155.36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114757.2864</v>
      </c>
      <c r="V26" s="467">
        <f t="shared" si="12"/>
        <v>674757.2864</v>
      </c>
      <c r="W26" s="474">
        <v>12</v>
      </c>
      <c r="X26" s="467">
        <f t="shared" si="13"/>
        <v>56229.7738666667</v>
      </c>
      <c r="Y26" s="467"/>
      <c r="Z26" s="929">
        <f t="shared" si="14"/>
        <v>56229.7738666667</v>
      </c>
      <c r="AA26" s="479"/>
      <c r="AB26" s="479"/>
      <c r="AC26" s="479"/>
    </row>
    <row r="27" ht="13" spans="1:29">
      <c r="A27" s="464">
        <v>22</v>
      </c>
      <c r="B27" s="987" t="s">
        <v>748</v>
      </c>
      <c r="C27" s="465">
        <v>337890.916666667</v>
      </c>
      <c r="D27" s="466">
        <v>12</v>
      </c>
      <c r="E27" s="467">
        <f t="shared" si="0"/>
        <v>4054691</v>
      </c>
      <c r="F27" s="467"/>
      <c r="G27" s="467">
        <v>276375.28</v>
      </c>
      <c r="H27" s="467"/>
      <c r="I27" s="467">
        <f t="shared" si="1"/>
        <v>3778315.72</v>
      </c>
      <c r="J27" s="467">
        <v>200000</v>
      </c>
      <c r="K27" s="467">
        <v>0.2</v>
      </c>
      <c r="L27" s="467">
        <f t="shared" si="2"/>
        <v>755663.144</v>
      </c>
      <c r="M27" s="467">
        <f t="shared" si="3"/>
        <v>955663.144</v>
      </c>
      <c r="N27" s="467">
        <f t="shared" si="4"/>
        <v>1232038.424</v>
      </c>
      <c r="O27" s="467">
        <f t="shared" si="5"/>
        <v>2822652.576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256757.04096</v>
      </c>
      <c r="U27" s="467">
        <v>0</v>
      </c>
      <c r="V27" s="467">
        <f t="shared" si="12"/>
        <v>480757.04096</v>
      </c>
      <c r="W27" s="474">
        <v>12</v>
      </c>
      <c r="X27" s="467">
        <f t="shared" si="13"/>
        <v>40063.0867466667</v>
      </c>
      <c r="Y27" s="467"/>
      <c r="Z27" s="929">
        <f t="shared" si="14"/>
        <v>40063.0867466667</v>
      </c>
      <c r="AA27" s="479"/>
      <c r="AB27" s="479"/>
      <c r="AC27" s="479"/>
    </row>
    <row r="28" ht="13" spans="1:29">
      <c r="A28" s="464">
        <v>23</v>
      </c>
      <c r="B28" s="987" t="s">
        <v>750</v>
      </c>
      <c r="C28" s="465">
        <v>337890.916666667</v>
      </c>
      <c r="D28" s="466">
        <v>12</v>
      </c>
      <c r="E28" s="467">
        <f t="shared" si="0"/>
        <v>4054691</v>
      </c>
      <c r="F28" s="467"/>
      <c r="G28" s="467">
        <v>276375.28</v>
      </c>
      <c r="H28" s="467"/>
      <c r="I28" s="467">
        <f t="shared" si="1"/>
        <v>3778315.72</v>
      </c>
      <c r="J28" s="467">
        <v>200000</v>
      </c>
      <c r="K28" s="467">
        <v>0.2</v>
      </c>
      <c r="L28" s="467">
        <f t="shared" si="2"/>
        <v>755663.144</v>
      </c>
      <c r="M28" s="467">
        <f t="shared" si="3"/>
        <v>955663.144</v>
      </c>
      <c r="N28" s="467">
        <f t="shared" si="4"/>
        <v>1232038.424</v>
      </c>
      <c r="O28" s="467">
        <f t="shared" si="5"/>
        <v>2822652.576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256757.04096</v>
      </c>
      <c r="U28" s="467">
        <v>0</v>
      </c>
      <c r="V28" s="467">
        <f t="shared" si="12"/>
        <v>480757.04096</v>
      </c>
      <c r="W28" s="474">
        <v>12</v>
      </c>
      <c r="X28" s="467">
        <f t="shared" si="13"/>
        <v>40063.0867466667</v>
      </c>
      <c r="Y28" s="467"/>
      <c r="Z28" s="929">
        <f t="shared" si="14"/>
        <v>40063.0867466667</v>
      </c>
      <c r="AA28" s="479"/>
      <c r="AB28" s="479"/>
      <c r="AC28" s="479"/>
    </row>
    <row r="29" ht="13" spans="1:29">
      <c r="A29" s="464">
        <v>24</v>
      </c>
      <c r="B29" s="987" t="s">
        <v>752</v>
      </c>
      <c r="C29" s="465">
        <v>337890.916666667</v>
      </c>
      <c r="D29" s="466">
        <v>12</v>
      </c>
      <c r="E29" s="467">
        <f t="shared" si="0"/>
        <v>4054691</v>
      </c>
      <c r="F29" s="467"/>
      <c r="G29" s="467">
        <v>276375.28</v>
      </c>
      <c r="H29" s="467"/>
      <c r="I29" s="467">
        <f t="shared" si="1"/>
        <v>3778315.72</v>
      </c>
      <c r="J29" s="467">
        <v>200000</v>
      </c>
      <c r="K29" s="467">
        <v>0.2</v>
      </c>
      <c r="L29" s="467">
        <f t="shared" si="2"/>
        <v>755663.144</v>
      </c>
      <c r="M29" s="467">
        <f t="shared" si="3"/>
        <v>955663.144</v>
      </c>
      <c r="N29" s="467">
        <f t="shared" si="4"/>
        <v>1232038.424</v>
      </c>
      <c r="O29" s="467">
        <f t="shared" si="5"/>
        <v>2822652.576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256757.04096</v>
      </c>
      <c r="U29" s="467">
        <v>0</v>
      </c>
      <c r="V29" s="467">
        <f t="shared" si="12"/>
        <v>480757.04096</v>
      </c>
      <c r="W29" s="474">
        <v>12</v>
      </c>
      <c r="X29" s="467">
        <f t="shared" si="13"/>
        <v>40063.0867466667</v>
      </c>
      <c r="Y29" s="467"/>
      <c r="Z29" s="929">
        <f t="shared" si="14"/>
        <v>40063.0867466667</v>
      </c>
      <c r="AA29" s="479"/>
      <c r="AB29" s="479"/>
      <c r="AC29" s="479"/>
    </row>
    <row r="30" spans="26:26">
      <c r="Z30" s="296"/>
    </row>
    <row r="31" spans="26:26">
      <c r="Z31" s="296"/>
    </row>
    <row r="32" spans="26:26">
      <c r="Z32" s="296"/>
    </row>
    <row r="33" spans="26:26">
      <c r="Z33" s="296"/>
    </row>
    <row r="34" spans="26:26">
      <c r="Z34" s="296"/>
    </row>
    <row r="35" spans="26:26">
      <c r="Z35" s="296"/>
    </row>
    <row r="36" spans="26:26">
      <c r="Z36" s="296"/>
    </row>
    <row r="37" spans="26:26">
      <c r="Z37" s="296"/>
    </row>
    <row r="38" spans="26:26">
      <c r="Z38" s="296"/>
    </row>
    <row r="39" spans="26:26">
      <c r="Z39" s="296"/>
    </row>
    <row r="40" spans="26:26">
      <c r="Z40" s="296"/>
    </row>
    <row r="41" spans="26:26">
      <c r="Z41" s="296"/>
    </row>
    <row r="42" spans="26:26">
      <c r="Z42" s="296"/>
    </row>
    <row r="43" spans="26:26">
      <c r="Z43" s="296"/>
    </row>
    <row r="44" spans="26:26">
      <c r="Z44" s="296"/>
    </row>
    <row r="45" spans="26:26">
      <c r="Z45" s="296"/>
    </row>
    <row r="46" spans="26:26">
      <c r="Z46" s="296"/>
    </row>
    <row r="47" spans="26:26">
      <c r="Z47" s="296"/>
    </row>
    <row r="48" spans="26:26">
      <c r="Z48" s="296"/>
    </row>
    <row r="49" spans="26:26">
      <c r="Z49" s="296"/>
    </row>
    <row r="50" spans="26:26">
      <c r="Z50" s="296"/>
    </row>
    <row r="51" spans="26:26">
      <c r="Z51" s="296"/>
    </row>
    <row r="52" spans="26:26">
      <c r="Z52" s="296"/>
    </row>
    <row r="53" spans="26:26">
      <c r="Z53" s="296"/>
    </row>
    <row r="54" spans="26:26">
      <c r="Z54" s="296"/>
    </row>
    <row r="55" spans="26:26">
      <c r="Z55" s="296"/>
    </row>
    <row r="56" spans="26:26">
      <c r="Z56" s="296"/>
    </row>
    <row r="57" spans="26:26">
      <c r="Z57" s="296"/>
    </row>
    <row r="58" spans="26:26">
      <c r="Z58" s="296"/>
    </row>
    <row r="59" spans="26:26">
      <c r="Z59" s="296"/>
    </row>
    <row r="60" spans="26:26">
      <c r="Z60" s="296"/>
    </row>
    <row r="61" spans="26:26">
      <c r="Z61" s="296"/>
    </row>
    <row r="62" spans="26:26">
      <c r="Z62" s="296"/>
    </row>
    <row r="63" spans="26:26">
      <c r="Z63" s="296"/>
    </row>
    <row r="64" spans="26:26">
      <c r="Z64" s="296"/>
    </row>
    <row r="65" spans="26:26">
      <c r="Z65" s="296"/>
    </row>
    <row r="66" spans="26:26">
      <c r="Z66" s="296"/>
    </row>
    <row r="67" spans="26:26">
      <c r="Z67" s="296"/>
    </row>
    <row r="68" spans="26:26">
      <c r="Z68" s="296"/>
    </row>
    <row r="69" spans="26:26">
      <c r="Z69" s="296"/>
    </row>
    <row r="70" spans="26:26">
      <c r="Z70" s="296"/>
    </row>
    <row r="71" spans="26:26">
      <c r="Z71" s="296"/>
    </row>
    <row r="72" spans="26:26">
      <c r="Z72" s="296"/>
    </row>
    <row r="73" spans="26:26">
      <c r="Z73" s="296"/>
    </row>
    <row r="74" spans="26:26">
      <c r="Z74" s="296"/>
    </row>
    <row r="75" spans="26:26">
      <c r="Z75" s="296"/>
    </row>
    <row r="76" spans="26:26">
      <c r="Z76" s="296"/>
    </row>
    <row r="77" spans="26:26">
      <c r="Z77" s="296"/>
    </row>
    <row r="78" spans="26:26">
      <c r="Z78" s="296"/>
    </row>
    <row r="79" spans="26:26">
      <c r="Z79" s="296"/>
    </row>
    <row r="80" spans="26:26">
      <c r="Z80" s="296"/>
    </row>
    <row r="81" spans="26:26">
      <c r="Z81" s="296"/>
    </row>
    <row r="82" spans="26:26">
      <c r="Z82" s="296"/>
    </row>
    <row r="83" spans="26:26">
      <c r="Z83" s="296"/>
    </row>
    <row r="84" spans="26:26">
      <c r="Z84" s="296"/>
    </row>
    <row r="85" spans="26:26">
      <c r="Z85" s="296"/>
    </row>
    <row r="86" spans="26:26">
      <c r="Z86" s="296"/>
    </row>
    <row r="87" spans="26:26">
      <c r="Z87" s="296"/>
    </row>
    <row r="88" spans="26:26">
      <c r="Z88" s="296"/>
    </row>
    <row r="89" spans="26:26">
      <c r="Z89" s="296"/>
    </row>
    <row r="90" spans="26:26">
      <c r="Z90" s="296"/>
    </row>
    <row r="91" spans="26:26">
      <c r="Z91" s="296"/>
    </row>
    <row r="92" spans="26:26">
      <c r="Z92" s="296"/>
    </row>
    <row r="93" spans="26:26">
      <c r="Z93" s="296"/>
    </row>
    <row r="94" spans="26:26">
      <c r="Z94" s="296"/>
    </row>
    <row r="95" spans="26:26">
      <c r="Z95" s="296"/>
    </row>
    <row r="96" spans="26:26">
      <c r="Z96" s="296"/>
    </row>
    <row r="97" spans="26:26">
      <c r="Z97" s="296"/>
    </row>
    <row r="98" spans="26:26">
      <c r="Z98" s="296"/>
    </row>
    <row r="99" spans="26:26">
      <c r="Z99" s="296"/>
    </row>
    <row r="100" spans="26:26">
      <c r="Z100" s="296"/>
    </row>
    <row r="101" spans="26:26">
      <c r="Z101" s="296"/>
    </row>
    <row r="102" spans="26:26">
      <c r="Z102" s="296"/>
    </row>
    <row r="103" spans="26:26">
      <c r="Z103" s="296"/>
    </row>
    <row r="104" spans="26:26">
      <c r="Z104" s="296"/>
    </row>
    <row r="105" spans="26:26">
      <c r="Z105" s="296"/>
    </row>
    <row r="106" spans="26:26">
      <c r="Z106" s="296"/>
    </row>
    <row r="107" spans="26:26">
      <c r="Z107" s="296"/>
    </row>
    <row r="108" spans="26:26">
      <c r="Z108" s="296"/>
    </row>
    <row r="109" spans="26:26">
      <c r="Z109" s="296"/>
    </row>
    <row r="110" spans="26:26">
      <c r="Z110" s="296"/>
    </row>
    <row r="111" spans="26:26">
      <c r="Z111" s="296"/>
    </row>
    <row r="112" spans="26:26">
      <c r="Z112" s="296"/>
    </row>
    <row r="113" spans="26:26">
      <c r="Z113" s="296"/>
    </row>
    <row r="114" spans="26:26">
      <c r="Z114" s="296"/>
    </row>
    <row r="115" spans="26:26">
      <c r="Z115" s="296"/>
    </row>
    <row r="116" spans="26:26">
      <c r="Z116" s="296"/>
    </row>
    <row r="117" spans="26:26">
      <c r="Z117" s="296"/>
    </row>
    <row r="118" spans="26:26">
      <c r="Z118" s="296"/>
    </row>
    <row r="119" spans="26:26">
      <c r="Z119" s="296"/>
    </row>
    <row r="120" spans="26:26">
      <c r="Z120" s="296"/>
    </row>
    <row r="121" spans="26:26">
      <c r="Z121" s="296"/>
    </row>
    <row r="122" spans="26:26">
      <c r="Z122" s="296"/>
    </row>
    <row r="123" spans="26:26">
      <c r="Z123" s="296"/>
    </row>
    <row r="124" spans="26:26">
      <c r="Z124" s="296"/>
    </row>
    <row r="125" spans="26:26">
      <c r="Z125" s="296"/>
    </row>
    <row r="126" spans="26:26">
      <c r="Z126" s="296"/>
    </row>
    <row r="127" spans="26:26">
      <c r="Z127" s="296"/>
    </row>
    <row r="128" spans="26:26">
      <c r="Z128" s="296"/>
    </row>
    <row r="129" spans="26:26">
      <c r="Z129" s="296"/>
    </row>
    <row r="130" spans="26:26">
      <c r="Z130" s="296"/>
    </row>
    <row r="131" spans="26:26">
      <c r="Z131" s="296"/>
    </row>
    <row r="132" spans="26:26">
      <c r="Z132" s="296"/>
    </row>
    <row r="133" spans="26:26">
      <c r="Z133" s="296"/>
    </row>
    <row r="134" spans="26:26">
      <c r="Z134" s="296"/>
    </row>
    <row r="135" spans="26:26">
      <c r="Z135" s="296"/>
    </row>
    <row r="136" spans="26:26">
      <c r="Z136" s="296"/>
    </row>
    <row r="137" spans="26:26">
      <c r="Z137" s="296"/>
    </row>
    <row r="138" spans="26:26">
      <c r="Z138" s="296"/>
    </row>
    <row r="139" spans="26:26">
      <c r="Z139" s="296"/>
    </row>
    <row r="140" spans="26:26">
      <c r="Z140" s="296"/>
    </row>
    <row r="141" spans="26:26">
      <c r="Z141" s="296"/>
    </row>
    <row r="142" spans="26:26">
      <c r="Z142" s="296"/>
    </row>
    <row r="143" spans="26:26">
      <c r="Z143" s="296"/>
    </row>
    <row r="144" spans="26:26">
      <c r="Z144" s="296"/>
    </row>
    <row r="145" spans="26:26">
      <c r="Z145" s="296"/>
    </row>
    <row r="146" spans="26:26">
      <c r="Z146" s="296"/>
    </row>
    <row r="147" spans="26:26">
      <c r="Z147" s="296"/>
    </row>
    <row r="148" spans="26:26">
      <c r="Z148" s="296"/>
    </row>
    <row r="149" spans="26:26">
      <c r="Z149" s="296"/>
    </row>
    <row r="150" spans="26:26">
      <c r="Z150" s="296"/>
    </row>
    <row r="151" spans="26:26">
      <c r="Z151" s="296"/>
    </row>
    <row r="152" spans="26:26">
      <c r="Z152" s="296"/>
    </row>
    <row r="153" spans="26:26">
      <c r="Z153" s="296"/>
    </row>
    <row r="154" spans="26:26">
      <c r="Z154" s="296"/>
    </row>
    <row r="155" spans="26:26">
      <c r="Z155" s="296"/>
    </row>
    <row r="156" spans="26:26">
      <c r="Z156" s="296"/>
    </row>
    <row r="157" spans="26:26">
      <c r="Z157" s="296"/>
    </row>
    <row r="158" spans="26:26">
      <c r="Z158" s="296"/>
    </row>
    <row r="159" spans="26:26">
      <c r="Z159" s="296"/>
    </row>
    <row r="160" spans="26:26">
      <c r="Z160" s="296"/>
    </row>
    <row r="161" spans="26:26">
      <c r="Z161" s="296"/>
    </row>
    <row r="162" spans="26:26">
      <c r="Z162" s="296"/>
    </row>
    <row r="163" spans="26:26">
      <c r="Z163" s="296"/>
    </row>
    <row r="164" spans="26:26">
      <c r="Z164" s="296"/>
    </row>
    <row r="165" spans="26:26">
      <c r="Z165" s="296"/>
    </row>
    <row r="166" spans="26:26">
      <c r="Z166" s="296"/>
    </row>
    <row r="167" spans="26:26">
      <c r="Z167" s="296"/>
    </row>
    <row r="168" spans="26:26">
      <c r="Z168" s="296"/>
    </row>
    <row r="169" spans="26:26">
      <c r="Z169" s="296"/>
    </row>
    <row r="170" spans="26:26">
      <c r="Z170" s="296"/>
    </row>
    <row r="171" spans="26:26">
      <c r="Z171" s="296"/>
    </row>
    <row r="172" spans="26:26">
      <c r="Z172" s="296"/>
    </row>
    <row r="173" spans="26:26">
      <c r="Z173" s="296"/>
    </row>
    <row r="174" spans="26:26">
      <c r="Z174" s="296"/>
    </row>
    <row r="175" spans="26:26">
      <c r="Z175" s="296"/>
    </row>
    <row r="176" spans="26:26">
      <c r="Z176" s="296"/>
    </row>
    <row r="177" spans="26:26">
      <c r="Z177" s="296"/>
    </row>
    <row r="178" spans="26:26">
      <c r="Z178" s="296"/>
    </row>
    <row r="179" spans="26:26">
      <c r="Z179" s="296"/>
    </row>
    <row r="180" spans="26:26">
      <c r="Z180" s="296"/>
    </row>
    <row r="181" spans="26:26">
      <c r="Z181" s="296"/>
    </row>
    <row r="182" spans="26:26">
      <c r="Z182" s="296"/>
    </row>
    <row r="183" spans="26:26">
      <c r="Z183" s="296"/>
    </row>
    <row r="184" spans="26:26">
      <c r="Z184" s="296"/>
    </row>
    <row r="185" spans="26:26">
      <c r="Z185" s="296"/>
    </row>
    <row r="186" spans="26:26">
      <c r="Z186" s="296"/>
    </row>
    <row r="187" spans="26:26">
      <c r="Z187" s="296"/>
    </row>
    <row r="188" spans="26:26">
      <c r="Z188" s="296"/>
    </row>
    <row r="189" spans="26:26">
      <c r="Z189" s="296"/>
    </row>
    <row r="190" spans="26:26">
      <c r="Z190" s="296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1" sqref="L2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B4" sqref="B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928" t="s">
        <v>616</v>
      </c>
      <c r="AA4" s="463" t="s">
        <v>483</v>
      </c>
      <c r="AB4" s="477" t="s">
        <v>617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>IF(O6&lt;300000,0.07*O6,21000)</f>
        <v>21000</v>
      </c>
      <c r="Q6" s="467">
        <f t="shared" ref="Q6:Q36" si="6">IF((O6-300000)&lt;0,0,IF((O6-300000)&lt;300000,0.11*(O6-300000),33000))</f>
        <v>33000</v>
      </c>
      <c r="R6" s="467">
        <f t="shared" ref="R6:R36" si="7">IF((O6-600000)&lt;0,0,IF((O6-600000)&lt;500000,0.15*(O6-600000),75000))</f>
        <v>75000</v>
      </c>
      <c r="S6" s="467">
        <f t="shared" ref="S6:S36" si="8">IF((O6-1100000)&lt;0,0,IF((O6-1100000)&lt;500000,0.19*(O6-1100000),95000))</f>
        <v>95000</v>
      </c>
      <c r="T6" s="467">
        <f t="shared" ref="T6:T36" si="9">IF((O6-1600000)&lt;0,0,IF((O6-1600000)&lt;1600000,0.21*(O6-1600000),336000))</f>
        <v>336000</v>
      </c>
      <c r="U6" s="467">
        <f t="shared" ref="U6:U34" si="10">24%*(O6-3200000)</f>
        <v>4359641.27999999</v>
      </c>
      <c r="V6" s="467">
        <f t="shared" ref="V6:V36" si="11">P6+Q6+R6+S6+T6+U6</f>
        <v>4919641.27999999</v>
      </c>
      <c r="W6" s="474">
        <v>12</v>
      </c>
      <c r="X6" s="467">
        <f t="shared" ref="X6:X36" si="12">V6/W6</f>
        <v>409970.106666666</v>
      </c>
      <c r="Y6" s="467"/>
      <c r="Z6" s="929">
        <f t="shared" ref="Z6:Z36" si="13">X6</f>
        <v>409970.106666666</v>
      </c>
      <c r="AA6" s="806">
        <v>350184.010730667</v>
      </c>
      <c r="AB6" s="806">
        <f t="shared" ref="AB6:AB36" si="14">Z6-AA6</f>
        <v>59786.0959359988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ref="P6:P36" si="15">IF(O7&lt;300000,0.07*O7,21000)</f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1540720.61184</v>
      </c>
      <c r="V7" s="467">
        <f t="shared" si="11"/>
        <v>2100720.61184</v>
      </c>
      <c r="W7" s="474">
        <v>12</v>
      </c>
      <c r="X7" s="467">
        <f t="shared" si="12"/>
        <v>175060.050986667</v>
      </c>
      <c r="Y7" s="467"/>
      <c r="Z7" s="929">
        <f t="shared" si="13"/>
        <v>175060.050986667</v>
      </c>
      <c r="AA7" s="806">
        <v>149812.262826667</v>
      </c>
      <c r="AB7" s="806">
        <f t="shared" si="14"/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1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2168386.752</v>
      </c>
      <c r="V8" s="467">
        <f t="shared" si="11"/>
        <v>2728386.752</v>
      </c>
      <c r="W8" s="474">
        <v>12</v>
      </c>
      <c r="X8" s="467">
        <f t="shared" si="12"/>
        <v>227365.562666667</v>
      </c>
      <c r="Y8" s="467"/>
      <c r="Z8" s="929">
        <f t="shared" si="13"/>
        <v>227365.562666667</v>
      </c>
      <c r="AA8" s="806">
        <v>199922.314666667</v>
      </c>
      <c r="AB8" s="806">
        <f t="shared" si="14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1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1485731.64864</v>
      </c>
      <c r="V9" s="467">
        <f t="shared" si="11"/>
        <v>2045731.64864</v>
      </c>
      <c r="W9" s="474">
        <v>12</v>
      </c>
      <c r="X9" s="467">
        <f t="shared" si="12"/>
        <v>170477.637386667</v>
      </c>
      <c r="Y9" s="467"/>
      <c r="Z9" s="929">
        <f t="shared" si="13"/>
        <v>170477.637386667</v>
      </c>
      <c r="AA9" s="806">
        <v>147687.527610667</v>
      </c>
      <c r="AB9" s="806">
        <f t="shared" si="14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1019008.91666667</v>
      </c>
      <c r="D10" s="466">
        <v>12</v>
      </c>
      <c r="E10" s="467">
        <f t="shared" si="0"/>
        <v>12228107</v>
      </c>
      <c r="F10" s="467">
        <v>157015.95</v>
      </c>
      <c r="G10" s="467">
        <v>818602.64</v>
      </c>
      <c r="H10" s="467"/>
      <c r="I10" s="467">
        <f t="shared" si="1"/>
        <v>11252488.41</v>
      </c>
      <c r="J10" s="467">
        <v>200000</v>
      </c>
      <c r="K10" s="467">
        <v>0.2</v>
      </c>
      <c r="L10" s="467">
        <f t="shared" si="2"/>
        <v>2250497.68200001</v>
      </c>
      <c r="M10" s="467">
        <f t="shared" si="3"/>
        <v>2450497.68200001</v>
      </c>
      <c r="N10" s="467">
        <f t="shared" si="4"/>
        <v>3426116.27200001</v>
      </c>
      <c r="O10" s="467">
        <f t="shared" si="5"/>
        <v>8801990.72800003</v>
      </c>
      <c r="P10" s="467">
        <f t="shared" si="1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1344477.77472001</v>
      </c>
      <c r="V10" s="467">
        <f t="shared" si="11"/>
        <v>1904477.77472001</v>
      </c>
      <c r="W10" s="474">
        <v>12</v>
      </c>
      <c r="X10" s="467">
        <f t="shared" si="12"/>
        <v>158706.481226667</v>
      </c>
      <c r="Y10" s="467"/>
      <c r="Z10" s="929">
        <f t="shared" si="13"/>
        <v>158706.481226667</v>
      </c>
      <c r="AA10" s="806">
        <v>129694.695226667</v>
      </c>
      <c r="AB10" s="806">
        <f t="shared" si="14"/>
        <v>29011.7860000005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1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1519421.86944</v>
      </c>
      <c r="V11" s="467">
        <f t="shared" si="11"/>
        <v>2079421.86944</v>
      </c>
      <c r="W11" s="474">
        <v>12</v>
      </c>
      <c r="X11" s="467">
        <f t="shared" si="12"/>
        <v>173285.155786667</v>
      </c>
      <c r="Y11" s="467"/>
      <c r="Z11" s="929">
        <f t="shared" si="13"/>
        <v>173285.155786667</v>
      </c>
      <c r="AA11" s="806">
        <v>150463.109674667</v>
      </c>
      <c r="AB11" s="806">
        <f t="shared" si="14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837207.144444444</v>
      </c>
      <c r="D12" s="466">
        <v>12</v>
      </c>
      <c r="E12" s="467">
        <f t="shared" si="0"/>
        <v>10046485.7333333</v>
      </c>
      <c r="F12" s="467"/>
      <c r="G12" s="467">
        <v>566070.72</v>
      </c>
      <c r="H12" s="467"/>
      <c r="I12" s="467">
        <f t="shared" si="1"/>
        <v>9480415.01333333</v>
      </c>
      <c r="J12" s="467">
        <v>200000</v>
      </c>
      <c r="K12" s="467">
        <v>0.2</v>
      </c>
      <c r="L12" s="467">
        <f t="shared" si="2"/>
        <v>1896083.00266667</v>
      </c>
      <c r="M12" s="467">
        <f t="shared" si="3"/>
        <v>2096083.00266667</v>
      </c>
      <c r="N12" s="467">
        <f t="shared" si="4"/>
        <v>2662153.72266666</v>
      </c>
      <c r="O12" s="467">
        <f t="shared" si="5"/>
        <v>7384332.01066666</v>
      </c>
      <c r="P12" s="467">
        <f t="shared" si="1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1004239.68256</v>
      </c>
      <c r="V12" s="467">
        <f t="shared" si="11"/>
        <v>1564239.68256</v>
      </c>
      <c r="W12" s="474">
        <v>12</v>
      </c>
      <c r="X12" s="467">
        <f t="shared" si="12"/>
        <v>130353.30688</v>
      </c>
      <c r="Y12" s="467"/>
      <c r="Z12" s="929">
        <f t="shared" si="13"/>
        <v>130353.30688</v>
      </c>
      <c r="AA12" s="806">
        <v>77666.4458666667</v>
      </c>
      <c r="AB12" s="806">
        <f t="shared" si="14"/>
        <v>52686.8610133333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932595.5</v>
      </c>
      <c r="D13" s="466">
        <v>12</v>
      </c>
      <c r="E13" s="467">
        <f t="shared" si="0"/>
        <v>11191146</v>
      </c>
      <c r="F13" s="467"/>
      <c r="G13" s="467">
        <v>693691.68</v>
      </c>
      <c r="H13" s="467"/>
      <c r="I13" s="467">
        <f t="shared" si="1"/>
        <v>10497454.32</v>
      </c>
      <c r="J13" s="467">
        <v>200000</v>
      </c>
      <c r="K13" s="467">
        <v>0.2</v>
      </c>
      <c r="L13" s="467">
        <f t="shared" si="2"/>
        <v>2099490.864</v>
      </c>
      <c r="M13" s="467">
        <f t="shared" si="3"/>
        <v>2299490.864</v>
      </c>
      <c r="N13" s="467">
        <f t="shared" si="4"/>
        <v>2993182.544</v>
      </c>
      <c r="O13" s="467">
        <f t="shared" si="5"/>
        <v>8197963.456</v>
      </c>
      <c r="P13" s="467">
        <f t="shared" si="1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1199511.22944</v>
      </c>
      <c r="V13" s="467">
        <f t="shared" si="11"/>
        <v>1759511.22944</v>
      </c>
      <c r="W13" s="474">
        <v>12</v>
      </c>
      <c r="X13" s="467">
        <f t="shared" si="12"/>
        <v>146625.935786667</v>
      </c>
      <c r="Y13" s="467"/>
      <c r="Z13" s="929">
        <f t="shared" si="13"/>
        <v>146625.935786667</v>
      </c>
      <c r="AA13" s="806">
        <v>141011.988957867</v>
      </c>
      <c r="AB13" s="806">
        <f t="shared" si="14"/>
        <v>5613.94682879967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1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1265691.71712</v>
      </c>
      <c r="V14" s="467">
        <f t="shared" si="11"/>
        <v>1825691.71712</v>
      </c>
      <c r="W14" s="474">
        <v>12</v>
      </c>
      <c r="X14" s="467">
        <f t="shared" si="12"/>
        <v>152140.976426667</v>
      </c>
      <c r="Y14" s="467"/>
      <c r="Z14" s="929">
        <f t="shared" si="13"/>
        <v>152140.976426667</v>
      </c>
      <c r="AA14" s="806">
        <v>131753.408426667</v>
      </c>
      <c r="AB14" s="806">
        <f t="shared" si="14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1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968809.274879998</v>
      </c>
      <c r="V15" s="467">
        <f t="shared" si="11"/>
        <v>1528809.27488</v>
      </c>
      <c r="W15" s="474">
        <v>12</v>
      </c>
      <c r="X15" s="467">
        <f t="shared" si="12"/>
        <v>127400.772906667</v>
      </c>
      <c r="Y15" s="467"/>
      <c r="Z15" s="929">
        <f t="shared" si="13"/>
        <v>127400.772906667</v>
      </c>
      <c r="AA15" s="806">
        <v>106452</v>
      </c>
      <c r="AB15" s="806">
        <f t="shared" si="14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50</v>
      </c>
      <c r="C16" s="465">
        <v>737468.580645162</v>
      </c>
      <c r="D16" s="466">
        <v>12</v>
      </c>
      <c r="E16" s="467">
        <f t="shared" si="0"/>
        <v>8849622.96774194</v>
      </c>
      <c r="F16" s="467"/>
      <c r="G16" s="467">
        <v>519697.279999999</v>
      </c>
      <c r="H16" s="467"/>
      <c r="I16" s="467">
        <f t="shared" si="1"/>
        <v>8329925.68774194</v>
      </c>
      <c r="J16" s="467">
        <v>200000</v>
      </c>
      <c r="K16" s="467">
        <v>0.2</v>
      </c>
      <c r="L16" s="467">
        <f t="shared" si="2"/>
        <v>1665985.13754839</v>
      </c>
      <c r="M16" s="467">
        <f t="shared" si="3"/>
        <v>1865985.13754839</v>
      </c>
      <c r="N16" s="467">
        <f t="shared" si="4"/>
        <v>2385682.41754839</v>
      </c>
      <c r="O16" s="467">
        <f t="shared" si="5"/>
        <v>6463940.55019356</v>
      </c>
      <c r="P16" s="467">
        <f t="shared" si="1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783345.732046453</v>
      </c>
      <c r="V16" s="467">
        <f t="shared" si="11"/>
        <v>1343345.73204645</v>
      </c>
      <c r="W16" s="474">
        <v>12</v>
      </c>
      <c r="X16" s="467">
        <f t="shared" si="12"/>
        <v>111945.477670538</v>
      </c>
      <c r="Y16" s="467"/>
      <c r="Z16" s="929">
        <f t="shared" si="13"/>
        <v>111945.477670538</v>
      </c>
      <c r="AA16" s="806">
        <v>77470.3741866667</v>
      </c>
      <c r="AB16" s="806">
        <f t="shared" si="14"/>
        <v>34475.1034838711</v>
      </c>
      <c r="AC16" s="479"/>
      <c r="AD16" s="479"/>
      <c r="AE16" s="479"/>
    </row>
    <row r="17" ht="15.5" spans="1:31">
      <c r="A17" s="464">
        <v>14</v>
      </c>
      <c r="B17" s="351" t="s">
        <v>53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1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1018815.63744</v>
      </c>
      <c r="V17" s="467">
        <f t="shared" si="11"/>
        <v>1578815.63744</v>
      </c>
      <c r="W17" s="474">
        <v>12</v>
      </c>
      <c r="X17" s="467">
        <f t="shared" si="12"/>
        <v>131567.969786667</v>
      </c>
      <c r="Y17" s="467"/>
      <c r="Z17" s="929">
        <f t="shared" si="13"/>
        <v>131567.969786667</v>
      </c>
      <c r="AA17" s="806">
        <v>113474.903466667</v>
      </c>
      <c r="AB17" s="806">
        <f t="shared" si="14"/>
        <v>18093.0663199996</v>
      </c>
      <c r="AC17" s="479"/>
      <c r="AD17" s="479"/>
      <c r="AE17" s="479"/>
    </row>
    <row r="18" ht="15.5" spans="1:31">
      <c r="A18" s="464">
        <v>15</v>
      </c>
      <c r="B18" s="351" t="s">
        <v>56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1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381810.65952</v>
      </c>
      <c r="V18" s="467">
        <f t="shared" si="11"/>
        <v>941810.65952</v>
      </c>
      <c r="W18" s="474">
        <v>12</v>
      </c>
      <c r="X18" s="467">
        <f t="shared" si="12"/>
        <v>78484.2216266667</v>
      </c>
      <c r="Y18" s="467"/>
      <c r="Z18" s="929">
        <f t="shared" si="13"/>
        <v>78484.2216266667</v>
      </c>
      <c r="AA18" s="806">
        <v>61040.2353066666</v>
      </c>
      <c r="AB18" s="806">
        <f t="shared" si="14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59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1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514963.03872</v>
      </c>
      <c r="V19" s="467">
        <f t="shared" si="11"/>
        <v>1074963.03872</v>
      </c>
      <c r="W19" s="474">
        <v>12</v>
      </c>
      <c r="X19" s="467">
        <f t="shared" si="12"/>
        <v>89580.2532266667</v>
      </c>
      <c r="Y19" s="467"/>
      <c r="Z19" s="929">
        <f t="shared" si="13"/>
        <v>89580.2532266667</v>
      </c>
      <c r="AA19" s="806">
        <v>70640.2353066667</v>
      </c>
      <c r="AB19" s="806">
        <f t="shared" si="14"/>
        <v>18940.01792</v>
      </c>
      <c r="AC19" s="479"/>
      <c r="AD19" s="479"/>
      <c r="AE19" s="479"/>
    </row>
    <row r="20" ht="15.5" spans="1:31">
      <c r="A20" s="464">
        <v>17</v>
      </c>
      <c r="B20" s="643" t="s">
        <v>61</v>
      </c>
      <c r="C20" s="465">
        <v>823027.494623656</v>
      </c>
      <c r="D20" s="466">
        <v>12</v>
      </c>
      <c r="E20" s="467">
        <f t="shared" si="0"/>
        <v>9876329.93548387</v>
      </c>
      <c r="F20" s="467">
        <v>93328.325</v>
      </c>
      <c r="G20" s="467">
        <v>476637.28</v>
      </c>
      <c r="H20" s="467"/>
      <c r="I20" s="467">
        <f t="shared" si="1"/>
        <v>9306364.33048387</v>
      </c>
      <c r="J20" s="467">
        <v>200000</v>
      </c>
      <c r="K20" s="467">
        <v>0.2</v>
      </c>
      <c r="L20" s="467">
        <f t="shared" si="2"/>
        <v>1861272.86609678</v>
      </c>
      <c r="M20" s="467">
        <f t="shared" si="3"/>
        <v>2061272.86609678</v>
      </c>
      <c r="N20" s="467">
        <f t="shared" si="4"/>
        <v>2631238.47109678</v>
      </c>
      <c r="O20" s="467">
        <f t="shared" si="5"/>
        <v>7245091.4643871</v>
      </c>
      <c r="P20" s="467">
        <f t="shared" si="1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970821.951452904</v>
      </c>
      <c r="V20" s="467">
        <f t="shared" si="11"/>
        <v>1530821.9514529</v>
      </c>
      <c r="W20" s="474">
        <v>12</v>
      </c>
      <c r="X20" s="467">
        <f t="shared" si="12"/>
        <v>127568.495954409</v>
      </c>
      <c r="Y20" s="467"/>
      <c r="Z20" s="929">
        <f t="shared" si="13"/>
        <v>127568.495954409</v>
      </c>
      <c r="AA20" s="806">
        <v>106297.15</v>
      </c>
      <c r="AB20" s="806">
        <f t="shared" si="14"/>
        <v>21271.3459544087</v>
      </c>
      <c r="AC20" s="479"/>
      <c r="AD20" s="479"/>
      <c r="AE20" s="479"/>
    </row>
    <row r="21" ht="15.5" spans="1:31">
      <c r="A21" s="464">
        <v>18</v>
      </c>
      <c r="B21" s="643" t="s">
        <v>64</v>
      </c>
      <c r="C21" s="465">
        <v>721571.849462364</v>
      </c>
      <c r="D21" s="466">
        <v>12</v>
      </c>
      <c r="E21" s="467">
        <f t="shared" si="0"/>
        <v>8658862.19354837</v>
      </c>
      <c r="F21" s="467"/>
      <c r="G21" s="467">
        <v>463356.160000001</v>
      </c>
      <c r="H21" s="467"/>
      <c r="I21" s="467">
        <f t="shared" si="1"/>
        <v>8195506.03354837</v>
      </c>
      <c r="J21" s="467">
        <v>200000</v>
      </c>
      <c r="K21" s="467">
        <v>0.2</v>
      </c>
      <c r="L21" s="467">
        <f t="shared" si="2"/>
        <v>1639101.20670967</v>
      </c>
      <c r="M21" s="467">
        <f t="shared" si="3"/>
        <v>1839101.20670967</v>
      </c>
      <c r="N21" s="467">
        <f t="shared" si="4"/>
        <v>2302457.36670967</v>
      </c>
      <c r="O21" s="467">
        <f t="shared" si="5"/>
        <v>6356404.82683869</v>
      </c>
      <c r="P21" s="467">
        <f t="shared" si="1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757537.158441286</v>
      </c>
      <c r="V21" s="467">
        <f t="shared" si="11"/>
        <v>1317537.15844129</v>
      </c>
      <c r="W21" s="474">
        <v>12</v>
      </c>
      <c r="X21" s="467">
        <f t="shared" si="12"/>
        <v>109794.763203441</v>
      </c>
      <c r="Y21" s="467"/>
      <c r="Z21" s="929">
        <f t="shared" si="13"/>
        <v>109794.763203441</v>
      </c>
      <c r="AA21" s="806">
        <v>82601.2049066667</v>
      </c>
      <c r="AB21" s="806">
        <f t="shared" si="14"/>
        <v>27193.5582967738</v>
      </c>
      <c r="AC21" s="479"/>
      <c r="AD21" s="479"/>
      <c r="AE21" s="479"/>
    </row>
    <row r="22" ht="15.5" spans="1:31">
      <c r="A22" s="464">
        <v>19</v>
      </c>
      <c r="B22" s="639" t="s">
        <v>67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1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839640.798719999</v>
      </c>
      <c r="V22" s="467">
        <f t="shared" si="11"/>
        <v>1399640.79872</v>
      </c>
      <c r="W22" s="474">
        <v>12</v>
      </c>
      <c r="X22" s="467">
        <f t="shared" si="12"/>
        <v>116636.733226667</v>
      </c>
      <c r="Y22" s="467"/>
      <c r="Z22" s="929">
        <f t="shared" si="13"/>
        <v>116636.733226667</v>
      </c>
      <c r="AA22" s="806">
        <v>98711.1146666667</v>
      </c>
      <c r="AB22" s="806">
        <f t="shared" si="14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70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1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401880.798719999</v>
      </c>
      <c r="V23" s="467">
        <f t="shared" si="11"/>
        <v>961880.798719999</v>
      </c>
      <c r="W23" s="474">
        <v>12</v>
      </c>
      <c r="X23" s="467">
        <f t="shared" si="12"/>
        <v>80156.7332266666</v>
      </c>
      <c r="Y23" s="467"/>
      <c r="Z23" s="929">
        <f t="shared" si="13"/>
        <v>80156.7332266666</v>
      </c>
      <c r="AA23" s="806">
        <v>62231.1146666667</v>
      </c>
      <c r="AB23" s="806">
        <f t="shared" si="14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72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1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336000</v>
      </c>
      <c r="U24" s="467">
        <f t="shared" si="10"/>
        <v>590936.248319999</v>
      </c>
      <c r="V24" s="467">
        <f t="shared" si="11"/>
        <v>1150936.24832</v>
      </c>
      <c r="W24" s="474">
        <v>12</v>
      </c>
      <c r="X24" s="467">
        <f t="shared" si="12"/>
        <v>95911.3540266666</v>
      </c>
      <c r="Y24" s="467"/>
      <c r="Z24" s="929">
        <f t="shared" si="13"/>
        <v>95911.3540266666</v>
      </c>
      <c r="AA24" s="806">
        <v>80347.4269866667</v>
      </c>
      <c r="AB24" s="806">
        <f t="shared" si="14"/>
        <v>15563.9270399999</v>
      </c>
      <c r="AC24" s="479"/>
      <c r="AD24" s="479"/>
      <c r="AE24" s="479"/>
    </row>
    <row r="25" ht="15.5" spans="1:31">
      <c r="A25" s="464">
        <v>22</v>
      </c>
      <c r="B25" s="639" t="s">
        <v>75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1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336000</v>
      </c>
      <c r="U25" s="467">
        <f t="shared" si="10"/>
        <v>130136.248319998</v>
      </c>
      <c r="V25" s="467">
        <f t="shared" si="11"/>
        <v>690136.248319998</v>
      </c>
      <c r="W25" s="474">
        <v>12</v>
      </c>
      <c r="X25" s="467">
        <f t="shared" si="12"/>
        <v>57511.3540266665</v>
      </c>
      <c r="Y25" s="467"/>
      <c r="Z25" s="929">
        <f t="shared" si="13"/>
        <v>57511.3540266665</v>
      </c>
      <c r="AA25" s="806">
        <v>42537.3319466667</v>
      </c>
      <c r="AB25" s="806">
        <f t="shared" si="14"/>
        <v>14974.0220799998</v>
      </c>
      <c r="AC25" s="479"/>
      <c r="AD25" s="479"/>
      <c r="AE25" s="479"/>
    </row>
    <row r="26" ht="15.5" spans="1:31">
      <c r="A26" s="464">
        <v>23</v>
      </c>
      <c r="B26" s="86" t="s">
        <v>485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1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336000</v>
      </c>
      <c r="U26" s="467">
        <f t="shared" si="10"/>
        <v>75406.1107200006</v>
      </c>
      <c r="V26" s="467">
        <f t="shared" si="11"/>
        <v>635406.110720001</v>
      </c>
      <c r="W26" s="474">
        <v>12</v>
      </c>
      <c r="X26" s="467">
        <f t="shared" si="12"/>
        <v>52950.5092266667</v>
      </c>
      <c r="Y26" s="467"/>
      <c r="Z26" s="929">
        <f t="shared" si="13"/>
        <v>52950.5092266667</v>
      </c>
      <c r="AA26" s="806">
        <v>39052.3130666667</v>
      </c>
      <c r="AB26" s="806">
        <f t="shared" si="14"/>
        <v>13898.19616</v>
      </c>
      <c r="AC26" s="479"/>
      <c r="AD26" s="479"/>
      <c r="AE26" s="479"/>
    </row>
    <row r="27" ht="15.5" spans="1:31">
      <c r="A27" s="464">
        <v>24</v>
      </c>
      <c r="B27" s="351" t="s">
        <v>78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15"/>
        <v>21000</v>
      </c>
      <c r="Q27" s="467">
        <f t="shared" si="6"/>
        <v>33000</v>
      </c>
      <c r="R27" s="467">
        <f t="shared" si="7"/>
        <v>75000</v>
      </c>
      <c r="S27" s="467">
        <f t="shared" si="8"/>
        <v>95000</v>
      </c>
      <c r="T27" s="467">
        <f t="shared" si="9"/>
        <v>336000</v>
      </c>
      <c r="U27" s="467">
        <f t="shared" si="10"/>
        <v>75406.1107200006</v>
      </c>
      <c r="V27" s="467">
        <f t="shared" si="11"/>
        <v>635406.110720001</v>
      </c>
      <c r="W27" s="474">
        <v>12</v>
      </c>
      <c r="X27" s="467">
        <f t="shared" si="12"/>
        <v>52950.5092266667</v>
      </c>
      <c r="Y27" s="467"/>
      <c r="Z27" s="929">
        <f t="shared" si="13"/>
        <v>52950.5092266667</v>
      </c>
      <c r="AA27" s="806">
        <v>39052.3130666667</v>
      </c>
      <c r="AB27" s="806">
        <f t="shared" si="14"/>
        <v>13898.19616</v>
      </c>
      <c r="AC27" s="479"/>
      <c r="AD27" s="479"/>
      <c r="AE27" s="479"/>
    </row>
    <row r="28" ht="15.5" spans="1:31">
      <c r="A28" s="464">
        <v>25</v>
      </c>
      <c r="B28" s="643" t="s">
        <v>81</v>
      </c>
      <c r="C28" s="465">
        <v>684288.357142852</v>
      </c>
      <c r="D28" s="466">
        <v>12</v>
      </c>
      <c r="E28" s="467">
        <f t="shared" si="0"/>
        <v>8211460.28571422</v>
      </c>
      <c r="F28" s="467"/>
      <c r="G28" s="467">
        <v>341107.840000001</v>
      </c>
      <c r="H28" s="467"/>
      <c r="I28" s="467">
        <f t="shared" si="1"/>
        <v>7870352.44571422</v>
      </c>
      <c r="J28" s="467">
        <v>200000</v>
      </c>
      <c r="K28" s="467">
        <v>0.2</v>
      </c>
      <c r="L28" s="467">
        <f t="shared" si="2"/>
        <v>1574070.48914284</v>
      </c>
      <c r="M28" s="467">
        <f t="shared" si="3"/>
        <v>1774070.48914284</v>
      </c>
      <c r="N28" s="467">
        <f t="shared" si="4"/>
        <v>2115178.32914285</v>
      </c>
      <c r="O28" s="467">
        <f t="shared" si="5"/>
        <v>6096281.95657138</v>
      </c>
      <c r="P28" s="467">
        <f t="shared" si="1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336000</v>
      </c>
      <c r="U28" s="467">
        <f t="shared" si="10"/>
        <v>695107.669577131</v>
      </c>
      <c r="V28" s="467">
        <f t="shared" si="11"/>
        <v>1255107.66957713</v>
      </c>
      <c r="W28" s="474">
        <v>12</v>
      </c>
      <c r="X28" s="467">
        <f t="shared" si="12"/>
        <v>104592.305798094</v>
      </c>
      <c r="Y28" s="467"/>
      <c r="Z28" s="929">
        <f t="shared" si="13"/>
        <v>104592.305798094</v>
      </c>
      <c r="AA28" s="806">
        <v>45772.3130666667</v>
      </c>
      <c r="AB28" s="806">
        <f t="shared" si="14"/>
        <v>58819.9927314276</v>
      </c>
      <c r="AC28" s="479"/>
      <c r="AD28" s="479"/>
      <c r="AE28" s="479"/>
    </row>
    <row r="29" ht="15.5" spans="1:31">
      <c r="A29" s="464">
        <v>26</v>
      </c>
      <c r="B29" s="351" t="s">
        <v>83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1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336000</v>
      </c>
      <c r="U29" s="467">
        <f t="shared" si="10"/>
        <v>57803.2281599984</v>
      </c>
      <c r="V29" s="467">
        <f t="shared" si="11"/>
        <v>617803.228159998</v>
      </c>
      <c r="W29" s="474">
        <v>12</v>
      </c>
      <c r="X29" s="467">
        <f t="shared" si="12"/>
        <v>51483.6023466665</v>
      </c>
      <c r="Y29" s="467"/>
      <c r="Z29" s="929">
        <f t="shared" si="13"/>
        <v>51483.6023466665</v>
      </c>
      <c r="AA29" s="806">
        <v>37921.5005866667</v>
      </c>
      <c r="AB29" s="806">
        <f t="shared" si="14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86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1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336000</v>
      </c>
      <c r="U30" s="467">
        <f t="shared" si="10"/>
        <v>40200.3456000005</v>
      </c>
      <c r="V30" s="467">
        <f t="shared" si="11"/>
        <v>600200.3456</v>
      </c>
      <c r="W30" s="474">
        <v>12</v>
      </c>
      <c r="X30" s="467">
        <f t="shared" si="12"/>
        <v>50016.6954666667</v>
      </c>
      <c r="Y30" s="467"/>
      <c r="Z30" s="929">
        <f t="shared" si="13"/>
        <v>50016.6954666667</v>
      </c>
      <c r="AA30" s="806">
        <v>36790.6881066667</v>
      </c>
      <c r="AB30" s="806">
        <f t="shared" si="14"/>
        <v>13226.00736</v>
      </c>
      <c r="AC30" s="479"/>
      <c r="AD30" s="479"/>
      <c r="AE30" s="479"/>
    </row>
    <row r="31" ht="15.5" spans="1:31">
      <c r="A31" s="464">
        <v>28</v>
      </c>
      <c r="B31" s="351" t="s">
        <v>89</v>
      </c>
      <c r="C31" s="465">
        <v>502248.182795697</v>
      </c>
      <c r="D31" s="466">
        <v>12</v>
      </c>
      <c r="E31" s="467">
        <f t="shared" si="0"/>
        <v>6026978.19354836</v>
      </c>
      <c r="F31" s="467"/>
      <c r="G31" s="468">
        <v>325163.200000001</v>
      </c>
      <c r="H31" s="467"/>
      <c r="I31" s="467">
        <f t="shared" si="1"/>
        <v>5701814.99354836</v>
      </c>
      <c r="J31" s="467">
        <v>200000</v>
      </c>
      <c r="K31" s="467">
        <v>0.2</v>
      </c>
      <c r="L31" s="467">
        <f t="shared" si="2"/>
        <v>1140362.99870967</v>
      </c>
      <c r="M31" s="467">
        <f t="shared" si="3"/>
        <v>1340362.99870967</v>
      </c>
      <c r="N31" s="467">
        <f t="shared" si="4"/>
        <v>1665526.19870967</v>
      </c>
      <c r="O31" s="467">
        <f t="shared" si="5"/>
        <v>4361451.99483869</v>
      </c>
      <c r="P31" s="467">
        <f t="shared" si="1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336000</v>
      </c>
      <c r="U31" s="467">
        <f t="shared" si="10"/>
        <v>278748.478761286</v>
      </c>
      <c r="V31" s="467">
        <f t="shared" si="11"/>
        <v>838748.478761286</v>
      </c>
      <c r="W31" s="474">
        <v>12</v>
      </c>
      <c r="X31" s="467">
        <f t="shared" si="12"/>
        <v>69895.7065634405</v>
      </c>
      <c r="Y31" s="467"/>
      <c r="Z31" s="929">
        <f t="shared" si="13"/>
        <v>69895.7065634405</v>
      </c>
      <c r="AA31" s="806">
        <v>36790.6881066667</v>
      </c>
      <c r="AB31" s="806">
        <f t="shared" si="14"/>
        <v>33105.0184567738</v>
      </c>
      <c r="AC31" s="479"/>
      <c r="AD31" s="479"/>
      <c r="AE31" s="479"/>
    </row>
    <row r="32" ht="15.5" spans="1:31">
      <c r="A32" s="464">
        <v>29</v>
      </c>
      <c r="B32" s="351" t="s">
        <v>91</v>
      </c>
      <c r="C32" s="465">
        <v>467422.860215052</v>
      </c>
      <c r="D32" s="466">
        <v>12</v>
      </c>
      <c r="E32" s="467">
        <f t="shared" si="0"/>
        <v>5609074.32258062</v>
      </c>
      <c r="F32" s="467"/>
      <c r="G32" s="468">
        <v>341107.840000001</v>
      </c>
      <c r="H32" s="467"/>
      <c r="I32" s="467">
        <f t="shared" si="1"/>
        <v>5267966.48258062</v>
      </c>
      <c r="J32" s="467">
        <v>200000</v>
      </c>
      <c r="K32" s="467">
        <v>0.2</v>
      </c>
      <c r="L32" s="467">
        <f t="shared" si="2"/>
        <v>1053593.29651612</v>
      </c>
      <c r="M32" s="467">
        <f t="shared" si="3"/>
        <v>1253593.29651612</v>
      </c>
      <c r="N32" s="467">
        <f t="shared" si="4"/>
        <v>1594701.13651613</v>
      </c>
      <c r="O32" s="467">
        <f t="shared" si="5"/>
        <v>4014373.1860645</v>
      </c>
      <c r="P32" s="467">
        <f t="shared" si="1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336000</v>
      </c>
      <c r="U32" s="467">
        <f t="shared" si="10"/>
        <v>195449.564655479</v>
      </c>
      <c r="V32" s="467">
        <f t="shared" si="11"/>
        <v>755449.564655479</v>
      </c>
      <c r="W32" s="474">
        <v>12</v>
      </c>
      <c r="X32" s="467">
        <f t="shared" si="12"/>
        <v>62954.1303879566</v>
      </c>
      <c r="Y32" s="467"/>
      <c r="Z32" s="929">
        <f t="shared" si="13"/>
        <v>62954.1303879566</v>
      </c>
      <c r="AA32" s="806">
        <v>39052.3130666667</v>
      </c>
      <c r="AB32" s="806">
        <f t="shared" si="14"/>
        <v>23901.8173212899</v>
      </c>
      <c r="AC32" s="479"/>
      <c r="AD32" s="479"/>
      <c r="AE32" s="479"/>
    </row>
    <row r="33" ht="15.5" spans="1:31">
      <c r="A33" s="464">
        <v>31</v>
      </c>
      <c r="B33" s="351" t="s">
        <v>93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15"/>
        <v>21000</v>
      </c>
      <c r="Q33" s="467">
        <f t="shared" si="6"/>
        <v>33000</v>
      </c>
      <c r="R33" s="467">
        <f t="shared" si="7"/>
        <v>75000</v>
      </c>
      <c r="S33" s="467">
        <f t="shared" si="8"/>
        <v>95000</v>
      </c>
      <c r="T33" s="467">
        <f t="shared" si="9"/>
        <v>336000</v>
      </c>
      <c r="U33" s="467">
        <f t="shared" si="10"/>
        <v>37138.9747200005</v>
      </c>
      <c r="V33" s="467">
        <f t="shared" si="11"/>
        <v>597138.974720001</v>
      </c>
      <c r="W33" s="474">
        <v>12</v>
      </c>
      <c r="X33" s="467">
        <f t="shared" si="12"/>
        <v>49761.5812266667</v>
      </c>
      <c r="Y33" s="467"/>
      <c r="Z33" s="929">
        <f t="shared" si="13"/>
        <v>49761.5812266667</v>
      </c>
      <c r="AA33" s="806">
        <v>36790.6881066667</v>
      </c>
      <c r="AB33" s="806">
        <f t="shared" si="14"/>
        <v>12970.89312</v>
      </c>
      <c r="AC33" s="479"/>
      <c r="AD33" s="479"/>
      <c r="AE33" s="479"/>
    </row>
    <row r="34" ht="15.5" spans="1:31">
      <c r="A34" s="464">
        <v>32</v>
      </c>
      <c r="B34" s="351" t="s">
        <v>95</v>
      </c>
      <c r="C34" s="467">
        <v>484992.096774192</v>
      </c>
      <c r="D34" s="466">
        <v>12</v>
      </c>
      <c r="E34" s="467">
        <f t="shared" si="0"/>
        <v>5819905.1612903</v>
      </c>
      <c r="F34" s="467"/>
      <c r="G34" s="468">
        <v>341107.840000001</v>
      </c>
      <c r="H34" s="467"/>
      <c r="I34" s="467">
        <f t="shared" si="1"/>
        <v>5478797.3212903</v>
      </c>
      <c r="J34" s="467">
        <v>200000</v>
      </c>
      <c r="K34" s="467">
        <v>0.2</v>
      </c>
      <c r="L34" s="467">
        <f t="shared" si="2"/>
        <v>1095759.46425806</v>
      </c>
      <c r="M34" s="467">
        <f t="shared" si="3"/>
        <v>1295759.46425806</v>
      </c>
      <c r="N34" s="467">
        <f t="shared" si="4"/>
        <v>1636867.30425806</v>
      </c>
      <c r="O34" s="467">
        <f t="shared" si="5"/>
        <v>4183037.85703224</v>
      </c>
      <c r="P34" s="467">
        <f t="shared" si="15"/>
        <v>21000</v>
      </c>
      <c r="Q34" s="467">
        <f t="shared" si="6"/>
        <v>33000</v>
      </c>
      <c r="R34" s="467">
        <f t="shared" si="7"/>
        <v>75000</v>
      </c>
      <c r="S34" s="467">
        <f t="shared" si="8"/>
        <v>95000</v>
      </c>
      <c r="T34" s="467">
        <f t="shared" si="9"/>
        <v>336000</v>
      </c>
      <c r="U34" s="467">
        <f t="shared" si="10"/>
        <v>235929.085687738</v>
      </c>
      <c r="V34" s="467">
        <f t="shared" si="11"/>
        <v>795929.085687738</v>
      </c>
      <c r="W34" s="474">
        <v>12</v>
      </c>
      <c r="X34" s="467">
        <f t="shared" si="12"/>
        <v>66327.4238073115</v>
      </c>
      <c r="Y34" s="467"/>
      <c r="Z34" s="929">
        <f t="shared" si="13"/>
        <v>66327.4238073115</v>
      </c>
      <c r="AA34" s="806">
        <v>36790.6881066667</v>
      </c>
      <c r="AB34" s="806">
        <f t="shared" si="14"/>
        <v>29536.7357006448</v>
      </c>
      <c r="AC34" s="479"/>
      <c r="AD34" s="479"/>
      <c r="AE34" s="479"/>
    </row>
    <row r="35" ht="15.5" spans="1:31">
      <c r="A35" s="464">
        <v>33</v>
      </c>
      <c r="B35" s="351" t="s">
        <v>103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15"/>
        <v>21000</v>
      </c>
      <c r="Q35" s="467">
        <f t="shared" si="6"/>
        <v>33000</v>
      </c>
      <c r="R35" s="467">
        <f t="shared" si="7"/>
        <v>75000</v>
      </c>
      <c r="S35" s="467">
        <f t="shared" si="8"/>
        <v>95000</v>
      </c>
      <c r="T35" s="467">
        <f t="shared" si="9"/>
        <v>282759.90624</v>
      </c>
      <c r="U35" s="467"/>
      <c r="V35" s="467">
        <f t="shared" si="11"/>
        <v>506759.90624</v>
      </c>
      <c r="W35" s="467">
        <v>12</v>
      </c>
      <c r="X35" s="467">
        <f t="shared" si="12"/>
        <v>42229.9921866667</v>
      </c>
      <c r="Y35" s="467"/>
      <c r="Z35" s="929">
        <f t="shared" si="13"/>
        <v>42229.9921866667</v>
      </c>
      <c r="AA35" s="467">
        <v>30259.1656266667</v>
      </c>
      <c r="AB35" s="806">
        <f t="shared" si="14"/>
        <v>11970.82656</v>
      </c>
      <c r="AC35" s="479"/>
      <c r="AD35" s="479"/>
      <c r="AE35" s="479"/>
    </row>
    <row r="36" ht="31" spans="1:31">
      <c r="A36" s="464">
        <v>34</v>
      </c>
      <c r="B36" s="351" t="s">
        <v>106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15"/>
        <v>21000</v>
      </c>
      <c r="Q36" s="467">
        <f t="shared" si="6"/>
        <v>33000</v>
      </c>
      <c r="R36" s="467">
        <f t="shared" si="7"/>
        <v>75000</v>
      </c>
      <c r="S36" s="467">
        <f t="shared" si="8"/>
        <v>95000</v>
      </c>
      <c r="T36" s="467">
        <f t="shared" si="9"/>
        <v>269758.473600001</v>
      </c>
      <c r="U36" s="467"/>
      <c r="V36" s="467">
        <f t="shared" si="11"/>
        <v>493758.473600001</v>
      </c>
      <c r="W36" s="467">
        <v>12</v>
      </c>
      <c r="X36" s="467">
        <f t="shared" si="12"/>
        <v>41146.5394666667</v>
      </c>
      <c r="Y36" s="467"/>
      <c r="Z36" s="929">
        <f t="shared" si="13"/>
        <v>41146.5394666667</v>
      </c>
      <c r="AA36" s="806">
        <v>29305.1955466667</v>
      </c>
      <c r="AB36" s="806">
        <f t="shared" si="14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121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122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127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129</v>
      </c>
      <c r="C41" s="467">
        <v>655929.27222222</v>
      </c>
      <c r="D41" s="466">
        <v>12</v>
      </c>
      <c r="E41" s="467">
        <f t="shared" si="16"/>
        <v>7871151.26666664</v>
      </c>
      <c r="F41" s="467"/>
      <c r="G41" s="467">
        <v>374530.4</v>
      </c>
      <c r="H41" s="467"/>
      <c r="I41" s="467">
        <f t="shared" si="17"/>
        <v>7496620.86666664</v>
      </c>
      <c r="J41" s="467">
        <v>200000</v>
      </c>
      <c r="K41" s="467">
        <v>0.2</v>
      </c>
      <c r="L41" s="467">
        <f t="shared" si="18"/>
        <v>1499324.17333333</v>
      </c>
      <c r="M41" s="467">
        <f t="shared" si="19"/>
        <v>1699324.17333333</v>
      </c>
      <c r="N41" s="467">
        <f t="shared" si="20"/>
        <v>2073854.57333333</v>
      </c>
      <c r="O41" s="467">
        <f t="shared" si="21"/>
        <v>5797296.69333331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623351.206399995</v>
      </c>
      <c r="V41" s="467">
        <f t="shared" si="28"/>
        <v>1183351.20639999</v>
      </c>
      <c r="W41" s="474">
        <v>12</v>
      </c>
      <c r="X41" s="467">
        <f t="shared" si="29"/>
        <v>98612.6005333329</v>
      </c>
      <c r="Y41" s="467"/>
      <c r="Z41" s="929">
        <f t="shared" si="30"/>
        <v>98612.6005333329</v>
      </c>
      <c r="AA41" s="806">
        <v>43763.9072266667</v>
      </c>
      <c r="AB41" s="806">
        <f t="shared" si="31"/>
        <v>54848.6933066662</v>
      </c>
      <c r="AC41" s="479"/>
      <c r="AD41" s="479"/>
      <c r="AE41" s="479"/>
    </row>
    <row r="42" ht="15.5" spans="1:31">
      <c r="A42" s="464"/>
      <c r="B42" s="643" t="s">
        <v>133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137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138</v>
      </c>
      <c r="C45" s="465">
        <v>1847612</v>
      </c>
      <c r="D45" s="466">
        <v>12</v>
      </c>
      <c r="E45" s="467">
        <f t="shared" ref="E45:E52" si="32">C45*D45</f>
        <v>22171344</v>
      </c>
      <c r="F45" s="467"/>
      <c r="G45" s="468">
        <v>869094.48</v>
      </c>
      <c r="H45" s="467"/>
      <c r="I45" s="467">
        <f t="shared" ref="I45:I52" si="33">E45-F45-G45-H45</f>
        <v>21302249.52</v>
      </c>
      <c r="J45" s="467">
        <v>200000</v>
      </c>
      <c r="K45" s="467">
        <v>0.2</v>
      </c>
      <c r="L45" s="467">
        <f t="shared" ref="L45:L52" si="34">I45*K45</f>
        <v>4260449.904</v>
      </c>
      <c r="M45" s="467">
        <f t="shared" ref="M45:M52" si="35">J45+L45</f>
        <v>4460449.904</v>
      </c>
      <c r="N45" s="467">
        <f t="shared" ref="N45:N52" si="36">F45+G45+H45+M45</f>
        <v>5329544.384</v>
      </c>
      <c r="O45" s="467">
        <f t="shared" ref="O45:O52" si="37">E45-N45</f>
        <v>16841799.616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3274031.90784</v>
      </c>
      <c r="V45" s="467">
        <f t="shared" ref="V45:V52" si="43">P45+Q45+R45+S45+T45+U45</f>
        <v>3834031.90784</v>
      </c>
      <c r="W45" s="474">
        <v>12</v>
      </c>
      <c r="X45" s="467">
        <f t="shared" ref="X45:X52" si="44">V45/W45</f>
        <v>319502.658986667</v>
      </c>
      <c r="Y45" s="467"/>
      <c r="Z45" s="929">
        <f t="shared" ref="Z45:Z52" si="45">X45</f>
        <v>319502.658986667</v>
      </c>
      <c r="AA45" s="806">
        <v>162999.59</v>
      </c>
      <c r="AB45" s="806">
        <f t="shared" ref="AB45:AB52" si="46">Z45-AA45</f>
        <v>156503.068986667</v>
      </c>
      <c r="AC45" s="479"/>
      <c r="AD45" s="479"/>
      <c r="AE45" s="479"/>
    </row>
    <row r="46" ht="15.5" spans="1:31">
      <c r="A46" s="464">
        <v>36</v>
      </c>
      <c r="B46" s="643" t="s">
        <v>141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143</v>
      </c>
      <c r="C47" s="467">
        <v>968360</v>
      </c>
      <c r="D47" s="466">
        <v>12</v>
      </c>
      <c r="E47" s="467">
        <f t="shared" si="32"/>
        <v>11620320</v>
      </c>
      <c r="F47" s="470"/>
      <c r="G47" s="468"/>
      <c r="H47" s="470"/>
      <c r="I47" s="467">
        <f t="shared" si="33"/>
        <v>11620320</v>
      </c>
      <c r="J47" s="467">
        <v>200000</v>
      </c>
      <c r="K47" s="467">
        <v>0.2</v>
      </c>
      <c r="L47" s="467">
        <f t="shared" si="34"/>
        <v>2324064</v>
      </c>
      <c r="M47" s="467">
        <f t="shared" si="35"/>
        <v>2524064</v>
      </c>
      <c r="N47" s="467">
        <f t="shared" si="36"/>
        <v>2524064</v>
      </c>
      <c r="O47" s="467">
        <f t="shared" si="37"/>
        <v>9096256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1415101.44</v>
      </c>
      <c r="V47" s="467">
        <f t="shared" si="43"/>
        <v>1975101.44</v>
      </c>
      <c r="W47" s="474">
        <v>12</v>
      </c>
      <c r="X47" s="467">
        <f t="shared" si="44"/>
        <v>164591.786666667</v>
      </c>
      <c r="Y47" s="470"/>
      <c r="Z47" s="929">
        <f t="shared" si="45"/>
        <v>164591.786666667</v>
      </c>
      <c r="AA47" s="806">
        <v>118861.965706667</v>
      </c>
      <c r="AB47" s="806">
        <f t="shared" si="46"/>
        <v>45729.8209599996</v>
      </c>
      <c r="AC47" s="479"/>
      <c r="AD47" s="479"/>
      <c r="AE47" s="479"/>
    </row>
    <row r="48" ht="15.5" spans="1:31">
      <c r="A48" s="464">
        <v>38</v>
      </c>
      <c r="B48" s="643" t="s">
        <v>144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145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149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153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154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156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157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159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162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163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165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169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171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172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173</v>
      </c>
      <c r="C64" s="467">
        <v>620586.309139783</v>
      </c>
      <c r="D64" s="466">
        <v>12</v>
      </c>
      <c r="E64" s="467">
        <f t="shared" si="48"/>
        <v>7447035.7096774</v>
      </c>
      <c r="F64" s="467"/>
      <c r="G64" s="468">
        <v>463356.160000001</v>
      </c>
      <c r="H64" s="470"/>
      <c r="I64" s="467">
        <f t="shared" si="49"/>
        <v>6983679.5496774</v>
      </c>
      <c r="J64" s="467">
        <v>200000</v>
      </c>
      <c r="K64" s="467">
        <v>0.2</v>
      </c>
      <c r="L64" s="467">
        <f t="shared" si="50"/>
        <v>1396735.90993548</v>
      </c>
      <c r="M64" s="467">
        <f t="shared" si="51"/>
        <v>1596735.90993548</v>
      </c>
      <c r="N64" s="467">
        <f t="shared" si="52"/>
        <v>2060092.06993548</v>
      </c>
      <c r="O64" s="467">
        <f t="shared" si="53"/>
        <v>5386943.63974192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524866.47353806</v>
      </c>
      <c r="V64" s="467">
        <f t="shared" si="60"/>
        <v>1084866.47353806</v>
      </c>
      <c r="W64" s="474">
        <v>12</v>
      </c>
      <c r="X64" s="467">
        <f t="shared" si="61"/>
        <v>90405.539461505</v>
      </c>
      <c r="Y64" s="470"/>
      <c r="Z64" s="929">
        <f t="shared" si="62"/>
        <v>90405.539461505</v>
      </c>
      <c r="AA64" s="806">
        <v>66538.0689066667</v>
      </c>
      <c r="AB64" s="806">
        <f t="shared" si="63"/>
        <v>23867.4705548383</v>
      </c>
      <c r="AC64" s="479"/>
      <c r="AD64" s="479"/>
      <c r="AE64" s="479"/>
    </row>
    <row r="65" ht="15.5" spans="1:31">
      <c r="A65" s="464">
        <v>56</v>
      </c>
      <c r="B65" s="643" t="s">
        <v>177</v>
      </c>
      <c r="C65" s="467">
        <v>490135.833333334</v>
      </c>
      <c r="D65" s="466">
        <v>12</v>
      </c>
      <c r="E65" s="467">
        <f t="shared" si="48"/>
        <v>5881630.00000001</v>
      </c>
      <c r="F65" s="467">
        <f>6154.27916666668*12</f>
        <v>73851.3500000002</v>
      </c>
      <c r="G65" s="468">
        <v>374530.4</v>
      </c>
      <c r="H65" s="470"/>
      <c r="I65" s="467">
        <f t="shared" si="49"/>
        <v>5433248.25000001</v>
      </c>
      <c r="J65" s="467">
        <v>200000</v>
      </c>
      <c r="K65" s="467">
        <v>0.2</v>
      </c>
      <c r="L65" s="467">
        <f t="shared" si="50"/>
        <v>1086649.65</v>
      </c>
      <c r="M65" s="467">
        <f t="shared" si="51"/>
        <v>1286649.65</v>
      </c>
      <c r="N65" s="467">
        <f t="shared" si="52"/>
        <v>1735031.4</v>
      </c>
      <c r="O65" s="467">
        <f t="shared" si="53"/>
        <v>4146598.60000001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227183.664000002</v>
      </c>
      <c r="V65" s="467">
        <f t="shared" si="60"/>
        <v>787183.664000002</v>
      </c>
      <c r="W65" s="474">
        <v>12</v>
      </c>
      <c r="X65" s="467">
        <f t="shared" si="61"/>
        <v>65598.6386666668</v>
      </c>
      <c r="Y65" s="470"/>
      <c r="Z65" s="929">
        <f t="shared" si="62"/>
        <v>65598.6386666668</v>
      </c>
      <c r="AA65" s="806">
        <v>51029.2273066667</v>
      </c>
      <c r="AB65" s="806">
        <f t="shared" si="63"/>
        <v>14569.4113600001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180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181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185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187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194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198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200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202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203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205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208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209</v>
      </c>
      <c r="C79" s="467">
        <v>698165.25</v>
      </c>
      <c r="D79" s="466">
        <v>12</v>
      </c>
      <c r="E79" s="467">
        <f t="shared" si="80"/>
        <v>8377983</v>
      </c>
      <c r="F79" s="467"/>
      <c r="G79" s="468">
        <v>535838.64</v>
      </c>
      <c r="H79" s="470"/>
      <c r="I79" s="467">
        <f t="shared" si="81"/>
        <v>7842144.36</v>
      </c>
      <c r="J79" s="467">
        <v>200000</v>
      </c>
      <c r="K79" s="467">
        <v>0.2</v>
      </c>
      <c r="L79" s="467">
        <f t="shared" si="82"/>
        <v>1568428.872</v>
      </c>
      <c r="M79" s="467">
        <f t="shared" si="83"/>
        <v>1768428.872</v>
      </c>
      <c r="N79" s="467">
        <f t="shared" si="84"/>
        <v>2304267.512</v>
      </c>
      <c r="O79" s="467">
        <f t="shared" si="85"/>
        <v>6073715.488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689691.71712</v>
      </c>
      <c r="V79" s="467">
        <f t="shared" si="92"/>
        <v>1249691.71712</v>
      </c>
      <c r="W79" s="474">
        <v>12</v>
      </c>
      <c r="X79" s="467">
        <f t="shared" si="93"/>
        <v>104140.976426667</v>
      </c>
      <c r="Y79" s="470"/>
      <c r="Z79" s="929">
        <f t="shared" si="94"/>
        <v>104140.976426667</v>
      </c>
      <c r="AA79" s="467">
        <v>83767.87</v>
      </c>
      <c r="AB79" s="806">
        <f t="shared" si="95"/>
        <v>20373.1064266667</v>
      </c>
      <c r="AC79" s="479"/>
      <c r="AD79" s="479"/>
      <c r="AE79" s="479"/>
    </row>
    <row r="80" ht="15.5" spans="1:31">
      <c r="A80" s="464">
        <v>72</v>
      </c>
      <c r="B80" s="643" t="s">
        <v>210</v>
      </c>
      <c r="C80" s="467">
        <v>698166.25</v>
      </c>
      <c r="D80" s="466">
        <v>12</v>
      </c>
      <c r="E80" s="467">
        <f t="shared" si="80"/>
        <v>8377995</v>
      </c>
      <c r="F80" s="467">
        <v>104315.075</v>
      </c>
      <c r="G80" s="468">
        <v>535839.6</v>
      </c>
      <c r="H80" s="470"/>
      <c r="I80" s="467">
        <f t="shared" si="81"/>
        <v>7737840.325</v>
      </c>
      <c r="J80" s="467">
        <v>200000</v>
      </c>
      <c r="K80" s="467">
        <v>0.2</v>
      </c>
      <c r="L80" s="467">
        <f t="shared" si="82"/>
        <v>1547568.065</v>
      </c>
      <c r="M80" s="467">
        <f t="shared" si="83"/>
        <v>1747568.065</v>
      </c>
      <c r="N80" s="467">
        <f t="shared" si="84"/>
        <v>2387722.74</v>
      </c>
      <c r="O80" s="467">
        <f t="shared" si="85"/>
        <v>5990272.26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669665.3424</v>
      </c>
      <c r="V80" s="467">
        <f t="shared" si="92"/>
        <v>1229665.3424</v>
      </c>
      <c r="W80" s="474">
        <v>12</v>
      </c>
      <c r="X80" s="467">
        <f t="shared" si="93"/>
        <v>102472.111866667</v>
      </c>
      <c r="Y80" s="470"/>
      <c r="Z80" s="929">
        <f t="shared" si="94"/>
        <v>102472.111866667</v>
      </c>
      <c r="AA80" s="467">
        <v>83753.4084266666</v>
      </c>
      <c r="AB80" s="806">
        <f t="shared" si="95"/>
        <v>18718.7034400001</v>
      </c>
      <c r="AC80" s="479"/>
      <c r="AD80" s="479"/>
      <c r="AE80" s="479"/>
    </row>
    <row r="81" ht="31" spans="1:31">
      <c r="A81" s="464">
        <v>73</v>
      </c>
      <c r="B81" s="643" t="s">
        <v>211</v>
      </c>
      <c r="C81" s="467">
        <v>682419.5</v>
      </c>
      <c r="D81" s="466">
        <v>12</v>
      </c>
      <c r="E81" s="467">
        <f t="shared" si="80"/>
        <v>8189034</v>
      </c>
      <c r="F81" s="467"/>
      <c r="G81" s="468">
        <v>520722.72</v>
      </c>
      <c r="H81" s="470"/>
      <c r="I81" s="467">
        <f t="shared" si="81"/>
        <v>7668311.28</v>
      </c>
      <c r="J81" s="467">
        <v>200000</v>
      </c>
      <c r="K81" s="467">
        <v>0.2</v>
      </c>
      <c r="L81" s="467">
        <f t="shared" si="82"/>
        <v>1533662.256</v>
      </c>
      <c r="M81" s="467">
        <f t="shared" si="83"/>
        <v>1733662.256</v>
      </c>
      <c r="N81" s="467">
        <f t="shared" si="84"/>
        <v>2254384.976</v>
      </c>
      <c r="O81" s="467">
        <f t="shared" si="85"/>
        <v>5934649.024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656315.76576</v>
      </c>
      <c r="V81" s="467">
        <f t="shared" si="92"/>
        <v>1216315.76576</v>
      </c>
      <c r="W81" s="474">
        <v>12</v>
      </c>
      <c r="X81" s="467">
        <f t="shared" si="93"/>
        <v>101359.647146667</v>
      </c>
      <c r="Y81" s="470"/>
      <c r="Z81" s="929">
        <f t="shared" si="94"/>
        <v>101359.647146667</v>
      </c>
      <c r="AA81" s="467">
        <v>81302.3959466667</v>
      </c>
      <c r="AB81" s="806">
        <f t="shared" si="95"/>
        <v>20057.2512</v>
      </c>
      <c r="AC81" s="479"/>
      <c r="AD81" s="479"/>
      <c r="AE81" s="479"/>
    </row>
    <row r="82" ht="15.5" spans="1:31">
      <c r="A82" s="464">
        <v>74</v>
      </c>
      <c r="B82" s="643" t="s">
        <v>213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214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217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221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224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225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8" spans="1:31">
      <c r="A90" s="464">
        <v>80</v>
      </c>
      <c r="B90" s="643" t="s">
        <v>227</v>
      </c>
      <c r="C90" s="937">
        <v>870286.75</v>
      </c>
      <c r="D90" s="466">
        <v>12</v>
      </c>
      <c r="E90" s="467">
        <f t="shared" si="96"/>
        <v>10443441</v>
      </c>
      <c r="F90" s="467"/>
      <c r="G90" s="468">
        <v>550954.64</v>
      </c>
      <c r="H90" s="470"/>
      <c r="I90" s="467">
        <f t="shared" si="97"/>
        <v>9892486.36</v>
      </c>
      <c r="J90" s="467">
        <v>200000</v>
      </c>
      <c r="K90" s="467">
        <v>0.2</v>
      </c>
      <c r="L90" s="467">
        <f t="shared" si="98"/>
        <v>1978497.272</v>
      </c>
      <c r="M90" s="467">
        <f t="shared" si="99"/>
        <v>2178497.272</v>
      </c>
      <c r="N90" s="467">
        <f t="shared" si="100"/>
        <v>2729451.912</v>
      </c>
      <c r="O90" s="467">
        <f t="shared" si="101"/>
        <v>7713989.088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1083357.38112</v>
      </c>
      <c r="V90" s="467">
        <f t="shared" si="108"/>
        <v>1643357.38112</v>
      </c>
      <c r="W90" s="474">
        <v>12</v>
      </c>
      <c r="X90" s="467">
        <f t="shared" si="109"/>
        <v>136946.448426667</v>
      </c>
      <c r="Y90" s="470"/>
      <c r="Z90" s="929">
        <f t="shared" si="110"/>
        <v>136946.448426667</v>
      </c>
      <c r="AA90" s="806">
        <v>72764.4209066667</v>
      </c>
      <c r="AB90" s="806">
        <f t="shared" si="111"/>
        <v>64182.0275199999</v>
      </c>
      <c r="AC90" s="479"/>
      <c r="AD90" s="479"/>
      <c r="AE90" s="479"/>
    </row>
    <row r="91" ht="15.5" spans="1:31">
      <c r="A91" s="464">
        <v>81</v>
      </c>
      <c r="B91" s="643" t="s">
        <v>229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233</v>
      </c>
      <c r="C92" s="467">
        <v>580770.22580645</v>
      </c>
      <c r="D92" s="466">
        <v>12</v>
      </c>
      <c r="E92" s="467">
        <f t="shared" si="96"/>
        <v>6969242.7096774</v>
      </c>
      <c r="F92" s="467"/>
      <c r="G92" s="468">
        <v>463356.160000001</v>
      </c>
      <c r="H92" s="470"/>
      <c r="I92" s="467">
        <f t="shared" si="97"/>
        <v>6505886.5496774</v>
      </c>
      <c r="J92" s="467">
        <v>200000</v>
      </c>
      <c r="K92" s="467">
        <v>0.2</v>
      </c>
      <c r="L92" s="467">
        <f t="shared" si="98"/>
        <v>1301177.30993548</v>
      </c>
      <c r="M92" s="467">
        <f t="shared" si="99"/>
        <v>1501177.30993548</v>
      </c>
      <c r="N92" s="467">
        <f t="shared" si="100"/>
        <v>1964533.46993548</v>
      </c>
      <c r="O92" s="467">
        <f t="shared" si="101"/>
        <v>5004709.23974192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433130.217538061</v>
      </c>
      <c r="V92" s="467">
        <f t="shared" si="108"/>
        <v>993130.217538061</v>
      </c>
      <c r="W92" s="474">
        <v>12</v>
      </c>
      <c r="X92" s="467">
        <f t="shared" si="109"/>
        <v>82760.8514615051</v>
      </c>
      <c r="Y92" s="470"/>
      <c r="Z92" s="929">
        <f t="shared" si="110"/>
        <v>82760.8514615051</v>
      </c>
      <c r="AA92" s="806">
        <v>56938.0689066667</v>
      </c>
      <c r="AB92" s="806">
        <f t="shared" si="111"/>
        <v>25822.7825548384</v>
      </c>
      <c r="AC92" s="479"/>
      <c r="AD92" s="479"/>
      <c r="AE92" s="479"/>
    </row>
    <row r="93" ht="15.5" spans="1:31">
      <c r="A93" s="464"/>
      <c r="B93" s="643" t="s">
        <v>234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237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556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240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242</v>
      </c>
      <c r="C98" s="467">
        <v>742085.645</v>
      </c>
      <c r="D98" s="466">
        <v>12</v>
      </c>
      <c r="E98" s="467">
        <f t="shared" si="112"/>
        <v>8905027.74</v>
      </c>
      <c r="F98" s="467">
        <v>101319.25</v>
      </c>
      <c r="G98" s="468">
        <v>519697.279999999</v>
      </c>
      <c r="H98" s="470"/>
      <c r="I98" s="467">
        <f t="shared" si="113"/>
        <v>8284011.21</v>
      </c>
      <c r="J98" s="467">
        <v>200000</v>
      </c>
      <c r="K98" s="467">
        <v>0.2</v>
      </c>
      <c r="L98" s="467">
        <f t="shared" si="114"/>
        <v>1656802.242</v>
      </c>
      <c r="M98" s="467">
        <f t="shared" si="115"/>
        <v>1856802.242</v>
      </c>
      <c r="N98" s="467">
        <f t="shared" si="116"/>
        <v>2477818.772</v>
      </c>
      <c r="O98" s="467">
        <f t="shared" si="117"/>
        <v>6427208.968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774530.15232</v>
      </c>
      <c r="V98" s="467">
        <f t="shared" si="124"/>
        <v>1334530.15232</v>
      </c>
      <c r="W98" s="474">
        <v>12</v>
      </c>
      <c r="X98" s="467">
        <f t="shared" si="125"/>
        <v>111210.846026667</v>
      </c>
      <c r="Y98" s="470"/>
      <c r="Z98" s="929">
        <f t="shared" si="126"/>
        <v>111210.846026667</v>
      </c>
      <c r="AA98" s="806">
        <v>87575.7827034667</v>
      </c>
      <c r="AB98" s="806">
        <f t="shared" si="127"/>
        <v>23635.0633232</v>
      </c>
      <c r="AC98" s="479"/>
      <c r="AD98" s="479"/>
      <c r="AE98" s="479"/>
    </row>
    <row r="99" ht="15.5" spans="1:31">
      <c r="A99" s="464">
        <v>88</v>
      </c>
      <c r="B99" s="643" t="s">
        <v>244</v>
      </c>
      <c r="C99" s="467">
        <v>742085.645</v>
      </c>
      <c r="D99" s="466">
        <v>12</v>
      </c>
      <c r="E99" s="467">
        <f t="shared" si="112"/>
        <v>8905027.74</v>
      </c>
      <c r="F99" s="467"/>
      <c r="G99" s="468">
        <v>519697.279999999</v>
      </c>
      <c r="H99" s="470"/>
      <c r="I99" s="467">
        <f t="shared" si="113"/>
        <v>8385330.46</v>
      </c>
      <c r="J99" s="467">
        <v>200000</v>
      </c>
      <c r="K99" s="467">
        <v>0.2</v>
      </c>
      <c r="L99" s="467">
        <f t="shared" si="114"/>
        <v>1677066.092</v>
      </c>
      <c r="M99" s="467">
        <f t="shared" si="115"/>
        <v>1877066.092</v>
      </c>
      <c r="N99" s="467">
        <f t="shared" si="116"/>
        <v>2396763.372</v>
      </c>
      <c r="O99" s="467">
        <f t="shared" si="117"/>
        <v>6508264.368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793983.44832</v>
      </c>
      <c r="V99" s="467">
        <f t="shared" si="124"/>
        <v>1353983.44832</v>
      </c>
      <c r="W99" s="474">
        <v>12</v>
      </c>
      <c r="X99" s="467">
        <f t="shared" si="125"/>
        <v>112831.954026667</v>
      </c>
      <c r="Y99" s="470"/>
      <c r="Z99" s="929">
        <f t="shared" si="126"/>
        <v>112831.954026667</v>
      </c>
      <c r="AA99" s="806">
        <v>87392.5495444267</v>
      </c>
      <c r="AB99" s="806">
        <f t="shared" si="127"/>
        <v>25439.40448224</v>
      </c>
      <c r="AC99" s="479"/>
      <c r="AD99" s="479"/>
      <c r="AE99" s="479"/>
    </row>
    <row r="100" ht="15.5" spans="1:31">
      <c r="A100" s="464">
        <v>89</v>
      </c>
      <c r="B100" s="643" t="s">
        <v>247</v>
      </c>
      <c r="C100" s="467">
        <v>466244.9625</v>
      </c>
      <c r="D100" s="466">
        <v>12</v>
      </c>
      <c r="E100" s="467">
        <f t="shared" si="112"/>
        <v>5594939.55</v>
      </c>
      <c r="F100" s="467"/>
      <c r="G100" s="468">
        <v>316752.400000001</v>
      </c>
      <c r="H100" s="470"/>
      <c r="I100" s="467">
        <f t="shared" si="113"/>
        <v>5278187.15</v>
      </c>
      <c r="J100" s="467">
        <v>200000</v>
      </c>
      <c r="K100" s="467">
        <v>0.2</v>
      </c>
      <c r="L100" s="467">
        <f t="shared" si="114"/>
        <v>1055637.43</v>
      </c>
      <c r="M100" s="467">
        <f t="shared" si="115"/>
        <v>1255637.43</v>
      </c>
      <c r="N100" s="467">
        <f t="shared" si="116"/>
        <v>1572389.83</v>
      </c>
      <c r="O100" s="467">
        <f t="shared" si="117"/>
        <v>4022549.72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197411.9328</v>
      </c>
      <c r="V100" s="467">
        <f t="shared" si="124"/>
        <v>757411.9328</v>
      </c>
      <c r="W100" s="474">
        <v>12</v>
      </c>
      <c r="X100" s="467">
        <f t="shared" si="125"/>
        <v>63117.6610666667</v>
      </c>
      <c r="Y100" s="470"/>
      <c r="Z100" s="929">
        <f t="shared" si="126"/>
        <v>63117.6610666667</v>
      </c>
      <c r="AA100" s="806">
        <v>46740.2649028267</v>
      </c>
      <c r="AB100" s="806">
        <f t="shared" si="127"/>
        <v>16377.39616384</v>
      </c>
      <c r="AC100" s="479"/>
      <c r="AD100" s="479"/>
      <c r="AE100" s="479"/>
    </row>
    <row r="101" ht="31" spans="1:31">
      <c r="A101" s="464"/>
      <c r="B101" s="351" t="s">
        <v>250</v>
      </c>
      <c r="C101" s="467">
        <v>466751.8625</v>
      </c>
      <c r="D101" s="466">
        <v>12</v>
      </c>
      <c r="E101" s="467">
        <f t="shared" si="112"/>
        <v>5601022.35</v>
      </c>
      <c r="F101" s="467"/>
      <c r="G101" s="468">
        <v>317190.799999999</v>
      </c>
      <c r="H101" s="470"/>
      <c r="I101" s="467">
        <f t="shared" si="113"/>
        <v>5283831.55</v>
      </c>
      <c r="J101" s="467">
        <v>200000</v>
      </c>
      <c r="K101" s="467">
        <v>0.2</v>
      </c>
      <c r="L101" s="467">
        <f t="shared" si="114"/>
        <v>1056766.31</v>
      </c>
      <c r="M101" s="467">
        <f t="shared" si="115"/>
        <v>1256766.31</v>
      </c>
      <c r="N101" s="467">
        <f t="shared" si="116"/>
        <v>1573957.11</v>
      </c>
      <c r="O101" s="467">
        <f t="shared" si="117"/>
        <v>4027065.24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198495.6576</v>
      </c>
      <c r="V101" s="467">
        <f t="shared" si="124"/>
        <v>758495.6576</v>
      </c>
      <c r="W101" s="474">
        <v>12</v>
      </c>
      <c r="X101" s="467">
        <f t="shared" si="125"/>
        <v>63207.9714666667</v>
      </c>
      <c r="Y101" s="470"/>
      <c r="Z101" s="929">
        <f t="shared" si="126"/>
        <v>63207.9714666667</v>
      </c>
      <c r="AA101" s="806">
        <v>87883.38</v>
      </c>
      <c r="AB101" s="806">
        <f t="shared" si="127"/>
        <v>-24675.4085333333</v>
      </c>
      <c r="AC101" s="479"/>
      <c r="AD101" s="479"/>
      <c r="AE101" s="479"/>
    </row>
    <row r="102" ht="15.5" spans="1:31">
      <c r="A102" s="464"/>
      <c r="B102" s="351" t="s">
        <v>251</v>
      </c>
      <c r="C102" s="467">
        <v>442901.94</v>
      </c>
      <c r="D102" s="466">
        <v>12</v>
      </c>
      <c r="E102" s="467">
        <f t="shared" si="112"/>
        <v>5314823.28</v>
      </c>
      <c r="G102" s="468">
        <v>296563.840000001</v>
      </c>
      <c r="H102" s="470"/>
      <c r="I102" s="467">
        <f t="shared" si="113"/>
        <v>5018259.44</v>
      </c>
      <c r="J102" s="467">
        <v>200000</v>
      </c>
      <c r="K102" s="467">
        <v>0.2</v>
      </c>
      <c r="L102" s="467">
        <f t="shared" si="114"/>
        <v>1003651.888</v>
      </c>
      <c r="M102" s="467">
        <f t="shared" si="115"/>
        <v>1203651.888</v>
      </c>
      <c r="N102" s="467">
        <f t="shared" si="116"/>
        <v>1500215.728</v>
      </c>
      <c r="O102" s="467">
        <f t="shared" si="117"/>
        <v>3814607.552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147505.81248</v>
      </c>
      <c r="V102" s="467">
        <f t="shared" si="124"/>
        <v>707505.81248</v>
      </c>
      <c r="W102" s="474">
        <v>12</v>
      </c>
      <c r="X102" s="467">
        <f t="shared" si="125"/>
        <v>58958.8177066667</v>
      </c>
      <c r="Y102" s="470"/>
      <c r="Z102" s="929">
        <f t="shared" si="126"/>
        <v>58958.8177066667</v>
      </c>
      <c r="AA102" s="806">
        <v>43740.2565414267</v>
      </c>
      <c r="AB102" s="806">
        <f t="shared" si="127"/>
        <v>15218.56116524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255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257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260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190</v>
      </c>
      <c r="C107" s="473">
        <v>981346.583333334</v>
      </c>
      <c r="D107" s="466">
        <v>12</v>
      </c>
      <c r="E107" s="467">
        <f t="shared" si="129"/>
        <v>11776159</v>
      </c>
      <c r="F107" s="467">
        <v>90896.2250000001</v>
      </c>
      <c r="G107" s="468">
        <v>463532.72</v>
      </c>
      <c r="H107" s="470"/>
      <c r="I107" s="467">
        <f t="shared" si="130"/>
        <v>11221730.055</v>
      </c>
      <c r="J107" s="467">
        <v>200000</v>
      </c>
      <c r="K107" s="467">
        <v>0.2</v>
      </c>
      <c r="L107" s="467">
        <f t="shared" si="131"/>
        <v>2244346.011</v>
      </c>
      <c r="M107" s="467">
        <f t="shared" si="132"/>
        <v>2444346.011</v>
      </c>
      <c r="N107" s="467">
        <f t="shared" si="133"/>
        <v>2998774.956</v>
      </c>
      <c r="O107" s="467">
        <f t="shared" si="134"/>
        <v>8777384.04400001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1338572.17056</v>
      </c>
      <c r="V107" s="467">
        <f t="shared" si="141"/>
        <v>1898572.17056</v>
      </c>
      <c r="W107" s="474">
        <v>12</v>
      </c>
      <c r="X107" s="467">
        <f t="shared" si="142"/>
        <v>158214.347546667</v>
      </c>
      <c r="Y107" s="470"/>
      <c r="Z107" s="929">
        <f t="shared" si="143"/>
        <v>158214.347546667</v>
      </c>
      <c r="AA107" s="806">
        <v>59711.1152554667</v>
      </c>
      <c r="AB107" s="806">
        <f t="shared" si="144"/>
        <v>98503.2322912001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618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272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277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279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280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282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284</v>
      </c>
      <c r="C117" s="467">
        <v>1099008.91666667</v>
      </c>
      <c r="D117" s="466">
        <v>12</v>
      </c>
      <c r="E117" s="467">
        <f t="shared" si="145"/>
        <v>13188107</v>
      </c>
      <c r="F117" s="467">
        <v>157015.95</v>
      </c>
      <c r="G117" s="468">
        <v>818602.639999999</v>
      </c>
      <c r="H117" s="470"/>
      <c r="I117" s="467">
        <f t="shared" si="146"/>
        <v>12212488.41</v>
      </c>
      <c r="J117" s="467">
        <v>200000</v>
      </c>
      <c r="K117" s="467">
        <v>0.2</v>
      </c>
      <c r="L117" s="467">
        <f t="shared" si="147"/>
        <v>2442497.68200001</v>
      </c>
      <c r="M117" s="467">
        <f t="shared" si="148"/>
        <v>2642497.68200001</v>
      </c>
      <c r="N117" s="467">
        <f t="shared" si="149"/>
        <v>3618116.27200001</v>
      </c>
      <c r="O117" s="467">
        <f t="shared" si="150"/>
        <v>9569990.72800003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1528797.77472001</v>
      </c>
      <c r="V117" s="467">
        <f t="shared" si="156"/>
        <v>2088797.77472001</v>
      </c>
      <c r="W117" s="474">
        <v>12</v>
      </c>
      <c r="X117" s="467">
        <f t="shared" si="157"/>
        <v>174066.481226667</v>
      </c>
      <c r="Y117" s="470"/>
      <c r="Z117" s="929">
        <f t="shared" si="158"/>
        <v>174066.481226667</v>
      </c>
      <c r="AA117" s="806">
        <v>145172.65</v>
      </c>
      <c r="AB117" s="806">
        <f t="shared" si="159"/>
        <v>28893.8312266673</v>
      </c>
      <c r="AC117" s="479"/>
      <c r="AD117" s="479"/>
      <c r="AE117" s="479"/>
    </row>
    <row r="118" ht="15.5" spans="1:31">
      <c r="A118" s="464"/>
      <c r="B118" s="643" t="s">
        <v>287</v>
      </c>
      <c r="C118" s="467">
        <v>659657</v>
      </c>
      <c r="D118" s="466">
        <v>12</v>
      </c>
      <c r="E118" s="467">
        <f t="shared" si="145"/>
        <v>7915884</v>
      </c>
      <c r="F118" s="467"/>
      <c r="G118" s="468">
        <v>566070.72</v>
      </c>
      <c r="H118" s="470"/>
      <c r="I118" s="467">
        <f t="shared" si="146"/>
        <v>7349813.28</v>
      </c>
      <c r="J118" s="467">
        <v>200000</v>
      </c>
      <c r="K118" s="467">
        <v>0.2</v>
      </c>
      <c r="L118" s="467">
        <f t="shared" si="147"/>
        <v>1469962.656</v>
      </c>
      <c r="M118" s="467">
        <f t="shared" si="148"/>
        <v>1669962.656</v>
      </c>
      <c r="N118" s="467">
        <f t="shared" si="149"/>
        <v>2236033.376</v>
      </c>
      <c r="O118" s="467">
        <f t="shared" si="150"/>
        <v>5679850.624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595164.14976</v>
      </c>
      <c r="V118" s="467">
        <f t="shared" si="156"/>
        <v>1155164.14976</v>
      </c>
      <c r="W118" s="474">
        <v>12</v>
      </c>
      <c r="X118" s="467">
        <f t="shared" si="157"/>
        <v>96263.6791466667</v>
      </c>
      <c r="Y118" s="470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288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290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293</v>
      </c>
      <c r="C121" s="467">
        <v>467422.860215052</v>
      </c>
      <c r="D121" s="466">
        <v>12</v>
      </c>
      <c r="E121" s="467">
        <f t="shared" si="145"/>
        <v>5609074.32258062</v>
      </c>
      <c r="F121" s="473"/>
      <c r="G121" s="468">
        <v>341107.840000001</v>
      </c>
      <c r="H121" s="470"/>
      <c r="I121" s="467">
        <f t="shared" si="146"/>
        <v>5267966.48258062</v>
      </c>
      <c r="J121" s="467">
        <v>200000</v>
      </c>
      <c r="K121" s="467">
        <v>0.2</v>
      </c>
      <c r="L121" s="467">
        <f t="shared" si="147"/>
        <v>1053593.29651612</v>
      </c>
      <c r="M121" s="467">
        <f t="shared" si="148"/>
        <v>1253593.29651612</v>
      </c>
      <c r="N121" s="467">
        <f t="shared" si="149"/>
        <v>1594701.13651613</v>
      </c>
      <c r="O121" s="467">
        <f t="shared" si="150"/>
        <v>4014373.1860645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195449.564655479</v>
      </c>
      <c r="V121" s="467">
        <f t="shared" si="156"/>
        <v>755449.564655479</v>
      </c>
      <c r="W121" s="474">
        <v>12</v>
      </c>
      <c r="X121" s="467">
        <f t="shared" si="157"/>
        <v>62954.1303879566</v>
      </c>
      <c r="Y121" s="470"/>
      <c r="Z121" s="929">
        <f t="shared" si="158"/>
        <v>62954.1303879566</v>
      </c>
      <c r="AA121" s="806">
        <v>39052.3130666667</v>
      </c>
      <c r="AB121" s="806">
        <f t="shared" si="159"/>
        <v>23901.8173212899</v>
      </c>
      <c r="AC121" s="479"/>
      <c r="AD121" s="479"/>
      <c r="AE121" s="479"/>
    </row>
    <row r="122" ht="15.5" spans="1:31">
      <c r="A122" s="464">
        <v>106</v>
      </c>
      <c r="B122" s="351" t="s">
        <v>295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297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298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120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300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301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304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306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308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310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313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314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316</v>
      </c>
      <c r="C135" s="467">
        <v>571571.849462365</v>
      </c>
      <c r="D135" s="466">
        <v>12</v>
      </c>
      <c r="E135" s="467">
        <f t="shared" si="161"/>
        <v>6858862.19354838</v>
      </c>
      <c r="F135" s="467"/>
      <c r="G135" s="468">
        <v>463356.160000001</v>
      </c>
      <c r="H135" s="470"/>
      <c r="I135" s="467">
        <f t="shared" si="162"/>
        <v>6395506.03354838</v>
      </c>
      <c r="J135" s="467">
        <v>200000</v>
      </c>
      <c r="K135" s="467">
        <v>0.2</v>
      </c>
      <c r="L135" s="467">
        <f t="shared" si="163"/>
        <v>1279101.20670968</v>
      </c>
      <c r="M135" s="467">
        <f t="shared" si="164"/>
        <v>1479101.20670968</v>
      </c>
      <c r="N135" s="467">
        <f t="shared" si="165"/>
        <v>1942457.36670968</v>
      </c>
      <c r="O135" s="467">
        <f t="shared" si="166"/>
        <v>4916404.8268387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411937.158441289</v>
      </c>
      <c r="V135" s="467">
        <f t="shared" si="173"/>
        <v>971937.158441289</v>
      </c>
      <c r="W135" s="474">
        <v>12</v>
      </c>
      <c r="X135" s="467">
        <f t="shared" si="174"/>
        <v>80994.7632034407</v>
      </c>
      <c r="Y135" s="470"/>
      <c r="Z135" s="929">
        <f t="shared" si="175"/>
        <v>80994.7632034407</v>
      </c>
      <c r="AA135" s="806">
        <v>56938.0689066667</v>
      </c>
      <c r="AB135" s="806">
        <f t="shared" si="176"/>
        <v>24056.694296774</v>
      </c>
      <c r="AC135" s="479"/>
      <c r="AD135" s="479"/>
      <c r="AE135" s="479"/>
    </row>
    <row r="136" ht="15.5" spans="1:31">
      <c r="A136" s="464">
        <v>120</v>
      </c>
      <c r="B136" s="643" t="s">
        <v>318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320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322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323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325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326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328</v>
      </c>
      <c r="C142" s="467">
        <v>417905.470777777</v>
      </c>
      <c r="D142" s="466">
        <v>12</v>
      </c>
      <c r="E142" s="467">
        <f t="shared" si="161"/>
        <v>5014865.64933332</v>
      </c>
      <c r="F142" s="467"/>
      <c r="G142" s="468">
        <v>333135.52</v>
      </c>
      <c r="H142" s="470"/>
      <c r="I142" s="467">
        <f t="shared" si="162"/>
        <v>4681730.12933332</v>
      </c>
      <c r="J142" s="467">
        <v>200000</v>
      </c>
      <c r="K142" s="467">
        <v>0.2</v>
      </c>
      <c r="L142" s="467">
        <f t="shared" si="163"/>
        <v>936346.025866665</v>
      </c>
      <c r="M142" s="467">
        <f t="shared" si="164"/>
        <v>1136346.02586666</v>
      </c>
      <c r="N142" s="467">
        <f t="shared" si="165"/>
        <v>1469481.54586666</v>
      </c>
      <c r="O142" s="467">
        <f t="shared" si="166"/>
        <v>3545384.10346666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82892.1848319982</v>
      </c>
      <c r="V142" s="467">
        <f t="shared" si="173"/>
        <v>642892.184831998</v>
      </c>
      <c r="W142" s="474">
        <v>12</v>
      </c>
      <c r="X142" s="467">
        <f t="shared" si="174"/>
        <v>53574.3487359998</v>
      </c>
      <c r="Y142" s="470"/>
      <c r="Z142" s="929">
        <f t="shared" si="175"/>
        <v>53574.3487359998</v>
      </c>
      <c r="AA142" s="806">
        <v>37921.5005866667</v>
      </c>
      <c r="AB142" s="806">
        <f t="shared" si="176"/>
        <v>15652.8481493331</v>
      </c>
      <c r="AC142" s="479"/>
      <c r="AD142" s="479"/>
      <c r="AE142" s="479"/>
    </row>
    <row r="143" ht="15.5" spans="1:31">
      <c r="A143" s="464">
        <v>127</v>
      </c>
      <c r="B143" s="643" t="s">
        <v>330</v>
      </c>
      <c r="C143" s="467">
        <v>627242.499999999</v>
      </c>
      <c r="D143" s="466">
        <v>12</v>
      </c>
      <c r="E143" s="467">
        <f t="shared" si="161"/>
        <v>7526909.99999999</v>
      </c>
      <c r="F143" s="467"/>
      <c r="G143" s="468">
        <v>438302.16</v>
      </c>
      <c r="H143" s="470"/>
      <c r="I143" s="467">
        <f t="shared" si="162"/>
        <v>7088607.83999999</v>
      </c>
      <c r="J143" s="467">
        <v>200000</v>
      </c>
      <c r="K143" s="467">
        <v>0.2</v>
      </c>
      <c r="L143" s="467">
        <f t="shared" si="163"/>
        <v>1417721.568</v>
      </c>
      <c r="M143" s="467">
        <f t="shared" si="164"/>
        <v>1617721.568</v>
      </c>
      <c r="N143" s="467">
        <f t="shared" si="165"/>
        <v>2056023.728</v>
      </c>
      <c r="O143" s="467">
        <f t="shared" si="166"/>
        <v>5470886.27199999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545012.705279998</v>
      </c>
      <c r="V143" s="467">
        <f t="shared" si="173"/>
        <v>1105012.70528</v>
      </c>
      <c r="W143" s="474">
        <v>12</v>
      </c>
      <c r="X143" s="467">
        <f t="shared" si="174"/>
        <v>92084.3921066665</v>
      </c>
      <c r="Y143" s="470"/>
      <c r="Z143" s="929">
        <f t="shared" si="175"/>
        <v>92084.3921066665</v>
      </c>
      <c r="AA143" s="806">
        <v>44990.4825066667</v>
      </c>
      <c r="AB143" s="806">
        <f t="shared" si="176"/>
        <v>47093.9095999998</v>
      </c>
      <c r="AC143" s="479"/>
      <c r="AD143" s="479"/>
      <c r="AE143" s="479"/>
    </row>
    <row r="144" ht="15.5" spans="1:31">
      <c r="A144" s="464">
        <v>128</v>
      </c>
      <c r="B144" s="643" t="s">
        <v>332</v>
      </c>
      <c r="C144" s="467">
        <v>481533.87096774</v>
      </c>
      <c r="D144" s="466">
        <v>12</v>
      </c>
      <c r="E144" s="467">
        <f t="shared" si="161"/>
        <v>5778406.45161288</v>
      </c>
      <c r="F144" s="467"/>
      <c r="G144" s="468">
        <v>341107.840000001</v>
      </c>
      <c r="H144" s="470"/>
      <c r="I144" s="467">
        <f t="shared" si="162"/>
        <v>5437298.61161288</v>
      </c>
      <c r="J144" s="467">
        <v>200000</v>
      </c>
      <c r="K144" s="467">
        <v>0.2</v>
      </c>
      <c r="L144" s="467">
        <f t="shared" si="163"/>
        <v>1087459.72232258</v>
      </c>
      <c r="M144" s="467">
        <f t="shared" si="164"/>
        <v>1287459.72232258</v>
      </c>
      <c r="N144" s="467">
        <f t="shared" si="165"/>
        <v>1628567.56232258</v>
      </c>
      <c r="O144" s="467">
        <f t="shared" si="166"/>
        <v>4149838.8892903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227961.333429673</v>
      </c>
      <c r="V144" s="467">
        <f t="shared" si="173"/>
        <v>787961.333429673</v>
      </c>
      <c r="W144" s="474">
        <v>12</v>
      </c>
      <c r="X144" s="467">
        <f t="shared" si="174"/>
        <v>65663.4444524727</v>
      </c>
      <c r="Y144" s="470"/>
      <c r="Z144" s="929">
        <f t="shared" si="175"/>
        <v>65663.4444524727</v>
      </c>
      <c r="AA144" s="806">
        <v>39052.3130666667</v>
      </c>
      <c r="AB144" s="806">
        <f t="shared" si="176"/>
        <v>26611.131385806</v>
      </c>
      <c r="AC144" s="479"/>
      <c r="AD144" s="479"/>
      <c r="AE144" s="479"/>
    </row>
    <row r="145" ht="15.5" spans="1:31">
      <c r="A145" s="464">
        <v>129</v>
      </c>
      <c r="B145" s="643" t="s">
        <v>334</v>
      </c>
      <c r="C145" s="467">
        <v>540384.977777777</v>
      </c>
      <c r="D145" s="466">
        <v>12</v>
      </c>
      <c r="E145" s="467">
        <f t="shared" si="161"/>
        <v>6484619.73333332</v>
      </c>
      <c r="F145" s="467">
        <v>92670.45</v>
      </c>
      <c r="G145" s="468">
        <v>438302.16</v>
      </c>
      <c r="H145" s="470"/>
      <c r="I145" s="467">
        <f t="shared" si="162"/>
        <v>5953647.12333332</v>
      </c>
      <c r="J145" s="467">
        <v>200000</v>
      </c>
      <c r="K145" s="467">
        <v>0.2</v>
      </c>
      <c r="L145" s="467">
        <f t="shared" si="163"/>
        <v>1190729.42466666</v>
      </c>
      <c r="M145" s="467">
        <f t="shared" si="164"/>
        <v>1390729.42466666</v>
      </c>
      <c r="N145" s="467">
        <f t="shared" si="165"/>
        <v>1921702.03466666</v>
      </c>
      <c r="O145" s="467">
        <f t="shared" si="166"/>
        <v>4562917.69866666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327100.247679998</v>
      </c>
      <c r="V145" s="467">
        <f t="shared" si="173"/>
        <v>887100.247679998</v>
      </c>
      <c r="W145" s="474">
        <v>12</v>
      </c>
      <c r="X145" s="467">
        <f t="shared" si="174"/>
        <v>73925.0206399998</v>
      </c>
      <c r="Y145" s="470"/>
      <c r="Z145" s="929">
        <f t="shared" si="175"/>
        <v>73925.0206399998</v>
      </c>
      <c r="AA145" s="806">
        <v>44913.6996186667</v>
      </c>
      <c r="AB145" s="806">
        <f t="shared" si="176"/>
        <v>29011.3210213331</v>
      </c>
      <c r="AC145" s="479"/>
      <c r="AD145" s="479"/>
      <c r="AE145" s="479"/>
    </row>
    <row r="146" ht="15.5" spans="1:31">
      <c r="A146" s="464">
        <v>130</v>
      </c>
      <c r="B146" s="643" t="s">
        <v>335</v>
      </c>
      <c r="C146" s="467">
        <v>461452.8172043</v>
      </c>
      <c r="D146" s="466">
        <v>12</v>
      </c>
      <c r="E146" s="467">
        <f t="shared" si="161"/>
        <v>5537433.8064516</v>
      </c>
      <c r="F146" s="467"/>
      <c r="G146" s="468">
        <v>341107.840000001</v>
      </c>
      <c r="H146" s="470"/>
      <c r="I146" s="467">
        <f t="shared" si="162"/>
        <v>5196325.9664516</v>
      </c>
      <c r="J146" s="467">
        <v>200000</v>
      </c>
      <c r="K146" s="467">
        <v>0.2</v>
      </c>
      <c r="L146" s="467">
        <f t="shared" si="163"/>
        <v>1039265.19329032</v>
      </c>
      <c r="M146" s="467">
        <f t="shared" si="164"/>
        <v>1239265.19329032</v>
      </c>
      <c r="N146" s="467">
        <f t="shared" si="165"/>
        <v>1580373.03329032</v>
      </c>
      <c r="O146" s="467">
        <f t="shared" si="166"/>
        <v>3957060.77316128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181694.585558707</v>
      </c>
      <c r="V146" s="467">
        <f t="shared" si="173"/>
        <v>741694.585558707</v>
      </c>
      <c r="W146" s="474">
        <v>12</v>
      </c>
      <c r="X146" s="467">
        <f t="shared" si="174"/>
        <v>61807.8821298922</v>
      </c>
      <c r="Y146" s="470"/>
      <c r="Z146" s="929">
        <f t="shared" si="175"/>
        <v>61807.8821298922</v>
      </c>
      <c r="AA146" s="806">
        <v>39052.3130666667</v>
      </c>
      <c r="AB146" s="806">
        <f t="shared" si="176"/>
        <v>22755.5690632255</v>
      </c>
      <c r="AC146" s="479"/>
      <c r="AD146" s="479"/>
      <c r="AE146" s="479"/>
    </row>
    <row r="147" ht="15.5" spans="1:31">
      <c r="A147" s="464">
        <v>131</v>
      </c>
      <c r="B147" s="351" t="s">
        <v>337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339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345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347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349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351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352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353</v>
      </c>
      <c r="C154" s="467">
        <v>360647.920777778</v>
      </c>
      <c r="D154" s="466">
        <v>12</v>
      </c>
      <c r="E154" s="467">
        <f t="shared" si="161"/>
        <v>4327775.04933334</v>
      </c>
      <c r="F154" s="467"/>
      <c r="G154" s="468">
        <v>283104.8</v>
      </c>
      <c r="H154" s="470"/>
      <c r="I154" s="467">
        <f t="shared" si="162"/>
        <v>4044670.24933334</v>
      </c>
      <c r="J154" s="467">
        <v>200000</v>
      </c>
      <c r="K154" s="467">
        <v>0.2</v>
      </c>
      <c r="L154" s="467">
        <f t="shared" si="163"/>
        <v>808934.049866667</v>
      </c>
      <c r="M154" s="467">
        <f t="shared" si="164"/>
        <v>1008934.04986667</v>
      </c>
      <c r="N154" s="467">
        <f t="shared" si="165"/>
        <v>1292038.84986667</v>
      </c>
      <c r="O154" s="467">
        <f t="shared" si="166"/>
        <v>3035736.19946667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301504.601888</v>
      </c>
      <c r="U154" s="467"/>
      <c r="V154" s="467">
        <f t="shared" si="173"/>
        <v>525504.601888</v>
      </c>
      <c r="W154" s="474">
        <v>12</v>
      </c>
      <c r="X154" s="467">
        <f t="shared" si="174"/>
        <v>43792.0501573334</v>
      </c>
      <c r="Y154" s="470"/>
      <c r="Z154" s="929">
        <f t="shared" si="175"/>
        <v>43792.0501573334</v>
      </c>
      <c r="AA154" s="806">
        <v>29305.1955466666</v>
      </c>
      <c r="AB154" s="806">
        <f t="shared" si="176"/>
        <v>14486.8546106668</v>
      </c>
      <c r="AC154" s="479"/>
      <c r="AD154" s="479"/>
      <c r="AE154" s="479"/>
    </row>
    <row r="155" ht="15.5" spans="1:31">
      <c r="A155" s="464">
        <v>139</v>
      </c>
      <c r="B155" s="351" t="s">
        <v>355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361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364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570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365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366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367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369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370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371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372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359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373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376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377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379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382</v>
      </c>
      <c r="C171" s="467">
        <v>363463.725806452</v>
      </c>
      <c r="D171" s="466">
        <v>12</v>
      </c>
      <c r="E171" s="467">
        <f t="shared" si="161"/>
        <v>4361564.70967742</v>
      </c>
      <c r="F171" s="467"/>
      <c r="G171" s="468">
        <v>140502.48</v>
      </c>
      <c r="H171" s="470"/>
      <c r="I171" s="467">
        <f t="shared" si="162"/>
        <v>4221062.22967742</v>
      </c>
      <c r="J171" s="467">
        <v>200000</v>
      </c>
      <c r="K171" s="467">
        <v>0.2</v>
      </c>
      <c r="L171" s="467">
        <f t="shared" si="163"/>
        <v>844212.445935485</v>
      </c>
      <c r="M171" s="467">
        <f t="shared" si="164"/>
        <v>1044212.44593548</v>
      </c>
      <c r="N171" s="467">
        <f t="shared" si="165"/>
        <v>1184714.92593548</v>
      </c>
      <c r="O171" s="467">
        <f t="shared" si="166"/>
        <v>3176849.78374194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95000</v>
      </c>
      <c r="T171" s="467">
        <f t="shared" ref="T171:T176" si="177">IF((O171-1600000)&lt;0,0,IF((O171-1600000)&lt;1600000,0.21*(O171-1600000),336000))</f>
        <v>331138.454585807</v>
      </c>
      <c r="U171" s="467"/>
      <c r="V171" s="467">
        <f t="shared" si="173"/>
        <v>555138.454585807</v>
      </c>
      <c r="W171" s="474">
        <v>12</v>
      </c>
      <c r="X171" s="467">
        <f t="shared" si="174"/>
        <v>46261.5378821506</v>
      </c>
      <c r="Y171" s="470"/>
      <c r="Z171" s="929">
        <f t="shared" si="175"/>
        <v>46261.5378821506</v>
      </c>
      <c r="AA171" s="806">
        <v>7852.4192</v>
      </c>
      <c r="AB171" s="806">
        <f t="shared" si="176"/>
        <v>38409.1186821506</v>
      </c>
      <c r="AC171" s="479"/>
      <c r="AD171" s="479"/>
      <c r="AE171" s="479"/>
    </row>
    <row r="172" ht="15.5" spans="1:31">
      <c r="A172" s="464">
        <v>156</v>
      </c>
      <c r="B172" s="643" t="s">
        <v>383</v>
      </c>
      <c r="C172" s="467">
        <v>363463.725806452</v>
      </c>
      <c r="D172" s="466">
        <v>12</v>
      </c>
      <c r="E172" s="467">
        <f t="shared" si="161"/>
        <v>4361564.70967742</v>
      </c>
      <c r="F172" s="467"/>
      <c r="G172" s="468">
        <v>140502.48</v>
      </c>
      <c r="H172" s="470"/>
      <c r="I172" s="467">
        <f t="shared" si="162"/>
        <v>4221062.22967742</v>
      </c>
      <c r="J172" s="467">
        <v>200000</v>
      </c>
      <c r="K172" s="467">
        <v>0.2</v>
      </c>
      <c r="L172" s="467">
        <f t="shared" si="163"/>
        <v>844212.445935485</v>
      </c>
      <c r="M172" s="467">
        <f t="shared" si="164"/>
        <v>1044212.44593548</v>
      </c>
      <c r="N172" s="467">
        <f t="shared" si="165"/>
        <v>1184714.92593548</v>
      </c>
      <c r="O172" s="467">
        <f t="shared" si="166"/>
        <v>3176849.78374194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95000</v>
      </c>
      <c r="T172" s="467">
        <f t="shared" si="177"/>
        <v>331138.454585807</v>
      </c>
      <c r="U172" s="467"/>
      <c r="V172" s="467">
        <f t="shared" si="173"/>
        <v>555138.454585807</v>
      </c>
      <c r="W172" s="474">
        <v>12</v>
      </c>
      <c r="X172" s="467">
        <f t="shared" si="174"/>
        <v>46261.5378821506</v>
      </c>
      <c r="Y172" s="470"/>
      <c r="Z172" s="929">
        <f t="shared" si="175"/>
        <v>46261.5378821506</v>
      </c>
      <c r="AA172" s="806">
        <v>7492.4192</v>
      </c>
      <c r="AB172" s="806">
        <f t="shared" si="176"/>
        <v>38769.1186821506</v>
      </c>
      <c r="AC172" s="479"/>
      <c r="AD172" s="479"/>
      <c r="AE172" s="479"/>
    </row>
    <row r="173" ht="15.5" spans="1:31">
      <c r="A173" s="464">
        <v>157</v>
      </c>
      <c r="B173" s="643" t="s">
        <v>384</v>
      </c>
      <c r="C173" s="467">
        <v>363463.725806452</v>
      </c>
      <c r="D173" s="466">
        <v>12</v>
      </c>
      <c r="E173" s="467">
        <f t="shared" si="161"/>
        <v>4361564.70967742</v>
      </c>
      <c r="F173" s="467"/>
      <c r="G173" s="468">
        <v>140502.48</v>
      </c>
      <c r="H173" s="470"/>
      <c r="I173" s="467">
        <f t="shared" si="162"/>
        <v>4221062.22967742</v>
      </c>
      <c r="J173" s="467">
        <v>200000</v>
      </c>
      <c r="K173" s="467">
        <v>0.2</v>
      </c>
      <c r="L173" s="467">
        <f t="shared" si="163"/>
        <v>844212.445935485</v>
      </c>
      <c r="M173" s="467">
        <f t="shared" si="164"/>
        <v>1044212.44593548</v>
      </c>
      <c r="N173" s="467">
        <f t="shared" si="165"/>
        <v>1184714.92593548</v>
      </c>
      <c r="O173" s="467">
        <f t="shared" si="166"/>
        <v>3176849.78374194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95000</v>
      </c>
      <c r="T173" s="467">
        <f t="shared" si="177"/>
        <v>331138.454585807</v>
      </c>
      <c r="U173" s="467"/>
      <c r="V173" s="467">
        <f t="shared" si="173"/>
        <v>555138.454585807</v>
      </c>
      <c r="W173" s="474">
        <v>12</v>
      </c>
      <c r="X173" s="467">
        <f t="shared" si="174"/>
        <v>46261.5378821506</v>
      </c>
      <c r="Y173" s="470"/>
      <c r="Z173" s="929">
        <f t="shared" si="175"/>
        <v>46261.5378821506</v>
      </c>
      <c r="AA173" s="806">
        <v>7852.4192</v>
      </c>
      <c r="AB173" s="806">
        <f t="shared" si="176"/>
        <v>38409.1186821506</v>
      </c>
      <c r="AC173" s="479"/>
      <c r="AD173" s="479"/>
      <c r="AE173" s="479"/>
    </row>
    <row r="174" ht="15.5" spans="1:31">
      <c r="A174" s="464">
        <v>158</v>
      </c>
      <c r="B174" s="643" t="s">
        <v>385</v>
      </c>
      <c r="C174" s="938">
        <v>363463.725806452</v>
      </c>
      <c r="D174" s="466">
        <v>12</v>
      </c>
      <c r="E174" s="467">
        <f t="shared" si="161"/>
        <v>4361564.70967742</v>
      </c>
      <c r="F174" s="467"/>
      <c r="G174" s="468">
        <v>140502.48</v>
      </c>
      <c r="H174" s="470"/>
      <c r="I174" s="467">
        <f t="shared" si="162"/>
        <v>4221062.22967742</v>
      </c>
      <c r="J174" s="467">
        <v>200000</v>
      </c>
      <c r="K174" s="467">
        <v>0.2</v>
      </c>
      <c r="L174" s="467">
        <f t="shared" si="163"/>
        <v>844212.445935485</v>
      </c>
      <c r="M174" s="467">
        <f t="shared" si="164"/>
        <v>1044212.44593548</v>
      </c>
      <c r="N174" s="467">
        <f t="shared" si="165"/>
        <v>1184714.92593548</v>
      </c>
      <c r="O174" s="467">
        <f t="shared" si="166"/>
        <v>3176849.78374194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95000</v>
      </c>
      <c r="T174" s="467">
        <f t="shared" si="177"/>
        <v>331138.454585807</v>
      </c>
      <c r="U174" s="467"/>
      <c r="V174" s="467">
        <f t="shared" si="173"/>
        <v>555138.454585807</v>
      </c>
      <c r="W174" s="474">
        <v>12</v>
      </c>
      <c r="X174" s="467">
        <f t="shared" si="174"/>
        <v>46261.5378821506</v>
      </c>
      <c r="Y174" s="470"/>
      <c r="Z174" s="929">
        <f t="shared" si="175"/>
        <v>46261.5378821506</v>
      </c>
      <c r="AA174" s="806">
        <v>7492.4192</v>
      </c>
      <c r="AB174" s="806">
        <f t="shared" si="176"/>
        <v>38769.1186821506</v>
      </c>
      <c r="AC174" s="479"/>
      <c r="AD174" s="479"/>
      <c r="AE174" s="479"/>
    </row>
    <row r="175" ht="15.5" spans="1:28">
      <c r="A175" s="464">
        <v>159</v>
      </c>
      <c r="B175" s="643" t="s">
        <v>386</v>
      </c>
      <c r="C175" s="938">
        <v>363463.725806452</v>
      </c>
      <c r="D175" s="466">
        <v>12</v>
      </c>
      <c r="E175" s="467">
        <f t="shared" si="161"/>
        <v>4361564.70967742</v>
      </c>
      <c r="F175" s="467"/>
      <c r="G175" s="468">
        <v>140502.48</v>
      </c>
      <c r="H175" s="470"/>
      <c r="I175" s="467">
        <f t="shared" si="162"/>
        <v>4221062.22967742</v>
      </c>
      <c r="J175" s="467">
        <v>200000</v>
      </c>
      <c r="K175" s="467">
        <v>0.2</v>
      </c>
      <c r="L175" s="467">
        <f t="shared" si="163"/>
        <v>844212.445935485</v>
      </c>
      <c r="M175" s="467">
        <f t="shared" si="164"/>
        <v>1044212.44593548</v>
      </c>
      <c r="N175" s="467">
        <f t="shared" si="165"/>
        <v>1184714.92593548</v>
      </c>
      <c r="O175" s="467">
        <f t="shared" si="166"/>
        <v>3176849.78374194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95000</v>
      </c>
      <c r="T175" s="467">
        <f t="shared" si="177"/>
        <v>331138.454585807</v>
      </c>
      <c r="U175" s="467"/>
      <c r="V175" s="467">
        <f t="shared" si="173"/>
        <v>555138.454585807</v>
      </c>
      <c r="W175" s="474">
        <v>12</v>
      </c>
      <c r="X175" s="467">
        <f t="shared" si="174"/>
        <v>46261.5378821506</v>
      </c>
      <c r="Y175" s="470"/>
      <c r="Z175" s="929">
        <f t="shared" si="175"/>
        <v>46261.5378821506</v>
      </c>
      <c r="AA175" s="806">
        <v>7852.4192</v>
      </c>
      <c r="AB175" s="806">
        <f t="shared" si="176"/>
        <v>38409.1186821506</v>
      </c>
    </row>
    <row r="176" ht="15.5" spans="1:28">
      <c r="A176" s="464">
        <v>160</v>
      </c>
      <c r="B176" s="351" t="s">
        <v>387</v>
      </c>
      <c r="C176" s="806">
        <v>954446.8</v>
      </c>
      <c r="D176" s="466">
        <v>12</v>
      </c>
      <c r="E176" s="467">
        <f t="shared" si="161"/>
        <v>11453361.6</v>
      </c>
      <c r="F176" s="620"/>
      <c r="G176" s="468">
        <v>140502.48</v>
      </c>
      <c r="I176" s="467">
        <f t="shared" si="162"/>
        <v>11312859.12</v>
      </c>
      <c r="J176" s="467">
        <v>200000</v>
      </c>
      <c r="K176" s="467">
        <v>0.2</v>
      </c>
      <c r="L176" s="467">
        <f t="shared" si="163"/>
        <v>2262571.824</v>
      </c>
      <c r="M176" s="467">
        <f t="shared" si="164"/>
        <v>2462571.824</v>
      </c>
      <c r="N176" s="467">
        <f t="shared" si="165"/>
        <v>2603074.304</v>
      </c>
      <c r="O176" s="467">
        <f t="shared" si="166"/>
        <v>8850287.296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95000</v>
      </c>
      <c r="T176" s="467">
        <f t="shared" si="177"/>
        <v>336000</v>
      </c>
      <c r="U176" s="467">
        <f>0.24*(O176-3200000)</f>
        <v>1356068.95104</v>
      </c>
      <c r="V176" s="467">
        <f t="shared" si="173"/>
        <v>1916068.95104</v>
      </c>
      <c r="W176" s="474">
        <v>12</v>
      </c>
      <c r="X176" s="467">
        <f t="shared" si="174"/>
        <v>159672.412586667</v>
      </c>
      <c r="Z176" s="929">
        <f t="shared" si="175"/>
        <v>159672.412586667</v>
      </c>
      <c r="AA176" s="806">
        <v>7492.4192</v>
      </c>
      <c r="AB176" s="806">
        <f t="shared" si="176"/>
        <v>152179.993386667</v>
      </c>
    </row>
    <row r="177" ht="15.5" spans="1:28">
      <c r="A177" s="464">
        <v>161</v>
      </c>
      <c r="B177" s="351" t="s">
        <v>389</v>
      </c>
      <c r="C177" s="806">
        <v>173356.75</v>
      </c>
      <c r="D177" s="466">
        <v>12</v>
      </c>
      <c r="E177" s="467">
        <f t="shared" si="161"/>
        <v>2080281</v>
      </c>
      <c r="F177" s="620"/>
      <c r="G177" s="468">
        <v>140502.48</v>
      </c>
      <c r="I177" s="467">
        <f t="shared" si="162"/>
        <v>1939778.52</v>
      </c>
      <c r="J177" s="467">
        <v>200000</v>
      </c>
      <c r="K177" s="467">
        <v>0.2</v>
      </c>
      <c r="L177" s="467">
        <f t="shared" si="163"/>
        <v>387955.704</v>
      </c>
      <c r="M177" s="467">
        <f t="shared" si="164"/>
        <v>587955.704</v>
      </c>
      <c r="N177" s="467">
        <f t="shared" si="165"/>
        <v>728458.184</v>
      </c>
      <c r="O177" s="467">
        <f t="shared" si="166"/>
        <v>1351822.816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47846.33504</v>
      </c>
      <c r="T177" s="467">
        <f t="shared" si="171"/>
        <v>0</v>
      </c>
      <c r="U177" s="467"/>
      <c r="V177" s="467">
        <f t="shared" si="173"/>
        <v>176846.33504</v>
      </c>
      <c r="W177" s="474">
        <v>12</v>
      </c>
      <c r="X177" s="467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1:28">
      <c r="A178" s="464">
        <v>162</v>
      </c>
      <c r="B178" s="643" t="s">
        <v>572</v>
      </c>
      <c r="C178" s="806"/>
      <c r="D178" s="466"/>
      <c r="E178" s="467"/>
      <c r="F178" s="620"/>
      <c r="G178" s="468"/>
      <c r="I178" s="467"/>
      <c r="J178" s="467"/>
      <c r="K178" s="467"/>
      <c r="L178" s="467"/>
      <c r="M178" s="467"/>
      <c r="N178" s="467">
        <f t="shared" si="165"/>
        <v>0</v>
      </c>
      <c r="O178" s="467">
        <f t="shared" si="166"/>
        <v>0</v>
      </c>
      <c r="P178" s="467">
        <f t="shared" si="167"/>
        <v>0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U178" s="467"/>
      <c r="V178" s="467">
        <f t="shared" si="173"/>
        <v>0</v>
      </c>
      <c r="W178" s="474">
        <v>12</v>
      </c>
      <c r="X178" s="467">
        <f t="shared" si="174"/>
        <v>0</v>
      </c>
      <c r="Z178" s="929">
        <f t="shared" si="175"/>
        <v>0</v>
      </c>
      <c r="AA178" s="806"/>
      <c r="AB178" s="806"/>
    </row>
    <row r="179" ht="15.5" spans="1:28">
      <c r="A179" s="464">
        <v>163</v>
      </c>
      <c r="B179" s="643" t="s">
        <v>392</v>
      </c>
      <c r="C179" s="806">
        <v>173356.75</v>
      </c>
      <c r="D179" s="466">
        <v>12</v>
      </c>
      <c r="E179" s="467">
        <f t="shared" ref="E179:E187" si="178">C179*D179</f>
        <v>2080281</v>
      </c>
      <c r="F179" s="620"/>
      <c r="G179" s="468">
        <v>140502.48</v>
      </c>
      <c r="I179" s="467">
        <f t="shared" ref="I179:I187" si="179">E179-F179-G179-H179</f>
        <v>1939778.52</v>
      </c>
      <c r="J179" s="467">
        <v>200000</v>
      </c>
      <c r="K179" s="467">
        <v>0.2</v>
      </c>
      <c r="L179" s="467">
        <f t="shared" ref="L179:L187" si="180">I179*K179</f>
        <v>387955.704</v>
      </c>
      <c r="M179" s="467">
        <f t="shared" ref="M179:M187" si="181">J179+L179</f>
        <v>587955.704</v>
      </c>
      <c r="N179" s="467">
        <f t="shared" si="165"/>
        <v>728458.184</v>
      </c>
      <c r="O179" s="467">
        <f t="shared" si="166"/>
        <v>1351822.816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47846.33504</v>
      </c>
      <c r="T179" s="467">
        <f t="shared" si="171"/>
        <v>0</v>
      </c>
      <c r="V179" s="467">
        <f t="shared" si="173"/>
        <v>176846.33504</v>
      </c>
      <c r="W179" s="474">
        <v>12</v>
      </c>
      <c r="X179" s="467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2">Z179-AA179</f>
        <v>6884.77538666667</v>
      </c>
    </row>
    <row r="180" ht="15.5" spans="1:28">
      <c r="A180" s="464">
        <v>164</v>
      </c>
      <c r="B180" s="351" t="s">
        <v>360</v>
      </c>
      <c r="C180" s="806">
        <v>170495.666666667</v>
      </c>
      <c r="D180" s="466">
        <v>12</v>
      </c>
      <c r="E180" s="467">
        <f t="shared" si="178"/>
        <v>2045948</v>
      </c>
      <c r="F180" s="620"/>
      <c r="G180" s="468">
        <v>137755.84</v>
      </c>
      <c r="I180" s="467">
        <f t="shared" si="179"/>
        <v>1908192.16</v>
      </c>
      <c r="J180" s="467">
        <v>200000</v>
      </c>
      <c r="K180" s="467">
        <v>0.2</v>
      </c>
      <c r="L180" s="467">
        <f t="shared" si="180"/>
        <v>381638.432000001</v>
      </c>
      <c r="M180" s="467">
        <f t="shared" si="181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2"/>
        <v>6765.95309333339</v>
      </c>
    </row>
    <row r="181" ht="15.5" spans="1:28">
      <c r="A181" s="464">
        <v>165</v>
      </c>
      <c r="B181" s="351" t="s">
        <v>394</v>
      </c>
      <c r="C181" s="806">
        <v>164773.5</v>
      </c>
      <c r="D181" s="466">
        <v>12</v>
      </c>
      <c r="E181" s="467">
        <f t="shared" si="178"/>
        <v>1977282</v>
      </c>
      <c r="F181" s="620"/>
      <c r="G181" s="468">
        <v>132262.56</v>
      </c>
      <c r="I181" s="467">
        <f t="shared" si="179"/>
        <v>1845019.44</v>
      </c>
      <c r="J181" s="467">
        <v>200000</v>
      </c>
      <c r="K181" s="467">
        <v>0.2</v>
      </c>
      <c r="L181" s="467">
        <f t="shared" si="180"/>
        <v>369003.888</v>
      </c>
      <c r="M181" s="467">
        <f t="shared" si="181"/>
        <v>569003.888</v>
      </c>
      <c r="N181" s="467">
        <f t="shared" si="165"/>
        <v>701266.448</v>
      </c>
      <c r="O181" s="467">
        <f t="shared" si="166"/>
        <v>1276015.552</v>
      </c>
      <c r="P181" s="467">
        <f t="shared" si="167"/>
        <v>21000</v>
      </c>
      <c r="Q181" s="467">
        <f t="shared" si="168"/>
        <v>33000</v>
      </c>
      <c r="R181" s="467">
        <f t="shared" si="169"/>
        <v>75000</v>
      </c>
      <c r="S181" s="467">
        <f t="shared" si="170"/>
        <v>33442.95488</v>
      </c>
      <c r="T181" s="467">
        <f t="shared" si="171"/>
        <v>0</v>
      </c>
      <c r="V181" s="467">
        <f t="shared" si="173"/>
        <v>162442.95488</v>
      </c>
      <c r="W181" s="474">
        <v>12</v>
      </c>
      <c r="X181" s="467">
        <f t="shared" si="174"/>
        <v>13536.9129066667</v>
      </c>
      <c r="Z181" s="929">
        <f t="shared" si="175"/>
        <v>13536.9129066667</v>
      </c>
      <c r="AA181" s="806">
        <v>3685.06</v>
      </c>
      <c r="AB181" s="806">
        <f t="shared" si="182"/>
        <v>9851.85290666667</v>
      </c>
    </row>
    <row r="182" ht="15.5" spans="1:28">
      <c r="A182" s="464">
        <v>166</v>
      </c>
      <c r="B182" s="351" t="s">
        <v>397</v>
      </c>
      <c r="C182" s="806">
        <v>156912.666666667</v>
      </c>
      <c r="D182" s="466">
        <v>12</v>
      </c>
      <c r="E182" s="467">
        <f t="shared" si="178"/>
        <v>1882952</v>
      </c>
      <c r="F182" s="620"/>
      <c r="G182" s="468">
        <v>129516.16</v>
      </c>
      <c r="I182" s="467">
        <f t="shared" si="179"/>
        <v>1753435.84</v>
      </c>
      <c r="J182" s="467">
        <v>200000</v>
      </c>
      <c r="K182" s="467">
        <v>0.2</v>
      </c>
      <c r="L182" s="467">
        <f t="shared" si="180"/>
        <v>350687.168000001</v>
      </c>
      <c r="M182" s="467">
        <f t="shared" si="181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2"/>
        <v>5941.79237333338</v>
      </c>
    </row>
    <row r="183" ht="15.5" spans="1:28">
      <c r="A183" s="464">
        <v>167</v>
      </c>
      <c r="B183" s="351" t="s">
        <v>401</v>
      </c>
      <c r="C183" s="806">
        <v>157279.033333333</v>
      </c>
      <c r="D183" s="466">
        <v>12</v>
      </c>
      <c r="E183" s="467">
        <f t="shared" si="178"/>
        <v>1887348.4</v>
      </c>
      <c r="F183" s="620"/>
      <c r="G183" s="468">
        <v>123887.44</v>
      </c>
      <c r="I183" s="467">
        <f t="shared" si="179"/>
        <v>1763460.96</v>
      </c>
      <c r="J183" s="467">
        <v>200000</v>
      </c>
      <c r="K183" s="467">
        <v>0.2</v>
      </c>
      <c r="L183" s="467">
        <f t="shared" si="180"/>
        <v>352692.191999999</v>
      </c>
      <c r="M183" s="467">
        <f t="shared" si="181"/>
        <v>552692.191999999</v>
      </c>
      <c r="N183" s="467">
        <f t="shared" si="165"/>
        <v>676579.631999999</v>
      </c>
      <c r="O183" s="467">
        <f t="shared" si="166"/>
        <v>1210768.768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21046.0659199994</v>
      </c>
      <c r="T183" s="467">
        <f t="shared" si="171"/>
        <v>0</v>
      </c>
      <c r="V183" s="467">
        <f t="shared" si="173"/>
        <v>150046.065919999</v>
      </c>
      <c r="W183" s="474">
        <v>12</v>
      </c>
      <c r="X183" s="467">
        <f t="shared" si="174"/>
        <v>12503.8388266666</v>
      </c>
      <c r="Z183" s="929">
        <f t="shared" si="175"/>
        <v>12503.8388266666</v>
      </c>
      <c r="AA183" s="806">
        <v>5230.0988</v>
      </c>
      <c r="AB183" s="806">
        <f t="shared" si="182"/>
        <v>7273.74002666662</v>
      </c>
    </row>
    <row r="184" ht="15.5" spans="1:28">
      <c r="A184" s="464">
        <v>168</v>
      </c>
      <c r="B184" s="351" t="s">
        <v>404</v>
      </c>
      <c r="C184" s="806">
        <v>148049.416666667</v>
      </c>
      <c r="D184" s="466">
        <v>12</v>
      </c>
      <c r="E184" s="467">
        <f t="shared" si="178"/>
        <v>1776593</v>
      </c>
      <c r="F184" s="620"/>
      <c r="G184" s="468">
        <v>123887.44</v>
      </c>
      <c r="I184" s="467">
        <f t="shared" si="179"/>
        <v>1652705.56</v>
      </c>
      <c r="J184" s="467">
        <v>200000</v>
      </c>
      <c r="K184" s="467">
        <v>0.2</v>
      </c>
      <c r="L184" s="467">
        <f t="shared" si="180"/>
        <v>330541.112000001</v>
      </c>
      <c r="M184" s="467">
        <f t="shared" si="181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2"/>
        <v>5870.83829333339</v>
      </c>
    </row>
    <row r="185" ht="15.5" spans="1:28">
      <c r="A185" s="464">
        <v>169</v>
      </c>
      <c r="B185" s="351" t="s">
        <v>405</v>
      </c>
      <c r="C185" s="806">
        <v>148049.416666667</v>
      </c>
      <c r="D185" s="466">
        <v>12</v>
      </c>
      <c r="E185" s="467">
        <f t="shared" si="178"/>
        <v>1776593</v>
      </c>
      <c r="F185" s="620"/>
      <c r="G185" s="487">
        <v>123887.44</v>
      </c>
      <c r="I185" s="486">
        <f t="shared" si="179"/>
        <v>1652705.56</v>
      </c>
      <c r="J185" s="467">
        <v>200000</v>
      </c>
      <c r="K185" s="467">
        <v>0.2</v>
      </c>
      <c r="L185" s="467">
        <f t="shared" si="180"/>
        <v>330541.112000001</v>
      </c>
      <c r="M185" s="467">
        <f t="shared" si="181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2"/>
        <v>5870.83829333339</v>
      </c>
    </row>
    <row r="186" ht="15.5" spans="1:28">
      <c r="A186" s="464">
        <v>170</v>
      </c>
      <c r="B186" s="351" t="s">
        <v>406</v>
      </c>
      <c r="C186" s="806">
        <v>162634.666666667</v>
      </c>
      <c r="D186" s="466">
        <v>12</v>
      </c>
      <c r="E186" s="467">
        <f t="shared" si="178"/>
        <v>1951616</v>
      </c>
      <c r="F186" s="620"/>
      <c r="G186" s="487">
        <v>135009.28</v>
      </c>
      <c r="H186" s="489"/>
      <c r="I186" s="486">
        <f t="shared" si="179"/>
        <v>1816606.72</v>
      </c>
      <c r="J186" s="486">
        <v>200000</v>
      </c>
      <c r="K186" s="486">
        <v>0.2</v>
      </c>
      <c r="L186" s="486">
        <f t="shared" si="180"/>
        <v>363321.344000001</v>
      </c>
      <c r="M186" s="486">
        <f t="shared" si="181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2"/>
        <v>6487.14245333339</v>
      </c>
    </row>
    <row r="187" ht="22" customHeight="1" spans="1:28">
      <c r="A187" s="464">
        <v>171</v>
      </c>
      <c r="B187" s="351" t="s">
        <v>409</v>
      </c>
      <c r="C187" s="806">
        <v>162634.666666667</v>
      </c>
      <c r="D187" s="466">
        <v>12</v>
      </c>
      <c r="E187" s="467">
        <f t="shared" si="178"/>
        <v>1951616</v>
      </c>
      <c r="F187" s="620"/>
      <c r="G187" s="487">
        <v>135009.28</v>
      </c>
      <c r="H187" s="489"/>
      <c r="I187" s="486">
        <f t="shared" si="179"/>
        <v>1816606.72</v>
      </c>
      <c r="J187" s="486">
        <v>200000</v>
      </c>
      <c r="K187" s="486">
        <v>0.2</v>
      </c>
      <c r="L187" s="486">
        <f t="shared" si="180"/>
        <v>363321.344000001</v>
      </c>
      <c r="M187" s="486">
        <f t="shared" si="181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2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120</v>
      </c>
      <c r="W188" s="618"/>
      <c r="X188" s="933">
        <f t="shared" ref="X188:AB188" si="183">SUM(X6:X187)</f>
        <v>14473354.7676727</v>
      </c>
      <c r="Y188" s="933"/>
      <c r="Z188" s="935">
        <f t="shared" si="183"/>
        <v>14473354.7676727</v>
      </c>
      <c r="AA188" s="935">
        <f t="shared" si="183"/>
        <v>10905235.8361748</v>
      </c>
      <c r="AB188" s="936">
        <f t="shared" si="183"/>
        <v>3568118.93149789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opLeftCell="A22" workbookViewId="0">
      <selection activeCell="B8" sqref="B8:K25"/>
    </sheetView>
  </sheetViews>
  <sheetFormatPr defaultColWidth="8.72727272727273" defaultRowHeight="12.5"/>
  <cols>
    <col min="1" max="1" width="5" customWidth="1"/>
    <col min="2" max="2" width="19" customWidth="1"/>
    <col min="3" max="3" width="15.3636363636364" customWidth="1"/>
    <col min="4" max="4" width="10.4545454545455" customWidth="1"/>
    <col min="5" max="5" width="14.3636363636364" customWidth="1"/>
    <col min="6" max="6" width="13.3636363636364" customWidth="1"/>
    <col min="7" max="7" width="8.81818181818182" customWidth="1"/>
    <col min="8" max="8" width="12.0909090909091" customWidth="1"/>
    <col min="9" max="9" width="13.7272727272727" customWidth="1"/>
    <col min="10" max="10" width="13.1818181818182" customWidth="1"/>
    <col min="11" max="11" width="12.0909090909091" customWidth="1"/>
    <col min="12" max="13" width="13.3636363636364" customWidth="1"/>
    <col min="14" max="14" width="12.5454545454545" customWidth="1"/>
  </cols>
  <sheetData>
    <row r="1" s="952" customFormat="1" ht="22.5" spans="1:14">
      <c r="A1" s="953" t="s">
        <v>0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</row>
    <row r="2" s="952" customFormat="1" ht="23" spans="1:14">
      <c r="A2" s="953" t="s">
        <v>754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</row>
    <row r="3" s="952" customFormat="1" ht="20" spans="1:14">
      <c r="A3" s="955" t="s">
        <v>755</v>
      </c>
      <c r="B3" s="956"/>
      <c r="C3" s="956"/>
      <c r="D3" s="956"/>
      <c r="E3" s="956"/>
      <c r="F3" s="956"/>
      <c r="G3" s="956"/>
      <c r="H3" s="956"/>
      <c r="I3" s="956"/>
      <c r="J3" s="956"/>
      <c r="K3" s="956"/>
      <c r="L3" s="956"/>
      <c r="M3" s="956"/>
      <c r="N3" s="956"/>
    </row>
    <row r="4" s="952" customFormat="1" ht="30" spans="1:14">
      <c r="A4" s="957" t="s">
        <v>21</v>
      </c>
      <c r="B4" s="958" t="s">
        <v>2</v>
      </c>
      <c r="C4" s="958"/>
      <c r="D4" s="959" t="s">
        <v>4</v>
      </c>
      <c r="E4" s="958" t="s">
        <v>756</v>
      </c>
      <c r="F4" s="959" t="s">
        <v>757</v>
      </c>
      <c r="G4" s="959" t="s">
        <v>758</v>
      </c>
      <c r="H4" s="959" t="s">
        <v>9</v>
      </c>
      <c r="I4" s="980" t="s">
        <v>432</v>
      </c>
      <c r="J4" s="980"/>
      <c r="K4" s="980"/>
      <c r="L4" s="980"/>
      <c r="M4" s="980"/>
      <c r="N4" s="981" t="s">
        <v>759</v>
      </c>
    </row>
    <row r="5" s="952" customFormat="1" ht="71" customHeight="1" spans="1:14">
      <c r="A5" s="957"/>
      <c r="B5" s="958"/>
      <c r="C5" s="958"/>
      <c r="D5" s="958"/>
      <c r="E5" s="958"/>
      <c r="F5" s="959"/>
      <c r="G5" s="959"/>
      <c r="H5" s="958"/>
      <c r="I5" s="982" t="s">
        <v>760</v>
      </c>
      <c r="J5" s="982" t="s">
        <v>761</v>
      </c>
      <c r="K5" s="982" t="s">
        <v>762</v>
      </c>
      <c r="L5" s="982" t="s">
        <v>763</v>
      </c>
      <c r="M5" s="982" t="s">
        <v>17</v>
      </c>
      <c r="N5" s="981"/>
    </row>
    <row r="6" s="952" customFormat="1" ht="9" customHeight="1" spans="1:14">
      <c r="A6" s="960"/>
      <c r="B6" s="961"/>
      <c r="C6" s="961"/>
      <c r="D6" s="961"/>
      <c r="E6" s="961"/>
      <c r="F6" s="962"/>
      <c r="G6" s="962"/>
      <c r="H6" s="961"/>
      <c r="I6" s="962"/>
      <c r="J6" s="962"/>
      <c r="K6" s="962"/>
      <c r="L6" s="962"/>
      <c r="M6" s="962"/>
      <c r="N6" s="983"/>
    </row>
    <row r="7" s="952" customFormat="1" ht="18" spans="1:14">
      <c r="A7" s="963"/>
      <c r="B7" s="963"/>
      <c r="C7" s="963"/>
      <c r="D7" s="963"/>
      <c r="E7" s="964" t="s">
        <v>20</v>
      </c>
      <c r="F7" s="964" t="s">
        <v>20</v>
      </c>
      <c r="G7" s="964" t="s">
        <v>20</v>
      </c>
      <c r="H7" s="964" t="s">
        <v>20</v>
      </c>
      <c r="I7" s="964" t="s">
        <v>20</v>
      </c>
      <c r="J7" s="964" t="s">
        <v>20</v>
      </c>
      <c r="K7" s="964" t="s">
        <v>20</v>
      </c>
      <c r="L7" s="964" t="s">
        <v>20</v>
      </c>
      <c r="M7" s="964" t="s">
        <v>20</v>
      </c>
      <c r="N7" s="984" t="s">
        <v>20</v>
      </c>
    </row>
    <row r="8" s="952" customFormat="1" ht="30" customHeight="1" spans="1:14">
      <c r="A8" s="963">
        <v>1</v>
      </c>
      <c r="B8" s="965" t="s">
        <v>764</v>
      </c>
      <c r="C8" s="966" t="s">
        <v>600</v>
      </c>
      <c r="D8" s="966" t="s">
        <v>276</v>
      </c>
      <c r="E8" s="967">
        <v>218287.583333333</v>
      </c>
      <c r="F8" s="968">
        <v>50000</v>
      </c>
      <c r="G8" s="968"/>
      <c r="H8" s="969">
        <f t="shared" ref="H8:H39" si="0">E8+F8+G8</f>
        <v>268287.583333333</v>
      </c>
      <c r="I8" s="985"/>
      <c r="J8" s="985"/>
      <c r="K8" s="985"/>
      <c r="L8" s="975">
        <v>29305.1955466667</v>
      </c>
      <c r="M8" s="969">
        <f t="shared" ref="M8:M46" si="1">I8+J8+K8+L8</f>
        <v>29305.1955466667</v>
      </c>
      <c r="N8" s="986">
        <f t="shared" ref="N8:N46" si="2">H8-M8</f>
        <v>238982.387786666</v>
      </c>
    </row>
    <row r="9" s="952" customFormat="1" ht="30" customHeight="1" spans="1:14">
      <c r="A9" s="963">
        <v>2</v>
      </c>
      <c r="B9" s="965" t="s">
        <v>765</v>
      </c>
      <c r="C9" s="966" t="s">
        <v>600</v>
      </c>
      <c r="D9" s="966" t="s">
        <v>276</v>
      </c>
      <c r="E9" s="967">
        <v>218287.583333333</v>
      </c>
      <c r="F9" s="968">
        <v>50000</v>
      </c>
      <c r="G9" s="968"/>
      <c r="H9" s="969">
        <f t="shared" si="0"/>
        <v>268287.583333333</v>
      </c>
      <c r="I9" s="985"/>
      <c r="J9" s="985"/>
      <c r="K9" s="985">
        <v>70000</v>
      </c>
      <c r="L9" s="975">
        <v>29305.1955466667</v>
      </c>
      <c r="M9" s="969">
        <f t="shared" si="1"/>
        <v>99305.1955466667</v>
      </c>
      <c r="N9" s="986">
        <f t="shared" si="2"/>
        <v>168982.387786666</v>
      </c>
    </row>
    <row r="10" s="952" customFormat="1" ht="30" customHeight="1" spans="1:14">
      <c r="A10" s="963">
        <v>3</v>
      </c>
      <c r="B10" s="965" t="s">
        <v>766</v>
      </c>
      <c r="C10" s="963" t="s">
        <v>767</v>
      </c>
      <c r="D10" s="963" t="s">
        <v>80</v>
      </c>
      <c r="E10" s="970">
        <v>293029.666666667</v>
      </c>
      <c r="F10" s="971">
        <v>110000</v>
      </c>
      <c r="G10" s="968"/>
      <c r="H10" s="969">
        <f t="shared" si="0"/>
        <v>403029.666666667</v>
      </c>
      <c r="I10" s="985">
        <v>50000</v>
      </c>
      <c r="J10" s="985"/>
      <c r="K10" s="985"/>
      <c r="L10" s="985">
        <v>56048.36</v>
      </c>
      <c r="M10" s="969">
        <f t="shared" si="1"/>
        <v>106048.36</v>
      </c>
      <c r="N10" s="986">
        <f t="shared" si="2"/>
        <v>296981.306666667</v>
      </c>
    </row>
    <row r="11" s="952" customFormat="1" ht="30" customHeight="1" spans="1:14">
      <c r="A11" s="963">
        <v>4</v>
      </c>
      <c r="B11" s="965" t="s">
        <v>768</v>
      </c>
      <c r="C11" s="966" t="s">
        <v>600</v>
      </c>
      <c r="D11" s="966" t="s">
        <v>276</v>
      </c>
      <c r="E11" s="967">
        <v>218287.583333333</v>
      </c>
      <c r="F11" s="968">
        <v>50000</v>
      </c>
      <c r="G11" s="968"/>
      <c r="H11" s="969">
        <f t="shared" si="0"/>
        <v>268287.583333333</v>
      </c>
      <c r="I11" s="985">
        <v>20000</v>
      </c>
      <c r="J11" s="985"/>
      <c r="K11" s="985"/>
      <c r="L11" s="975">
        <v>29305.1955466667</v>
      </c>
      <c r="M11" s="969">
        <f t="shared" si="1"/>
        <v>49305.1955466667</v>
      </c>
      <c r="N11" s="986">
        <f t="shared" si="2"/>
        <v>218982.387786666</v>
      </c>
    </row>
    <row r="12" s="952" customFormat="1" ht="30" customHeight="1" spans="1:14">
      <c r="A12" s="963">
        <v>5</v>
      </c>
      <c r="B12" s="965" t="s">
        <v>769</v>
      </c>
      <c r="C12" s="966" t="s">
        <v>600</v>
      </c>
      <c r="D12" s="966" t="s">
        <v>344</v>
      </c>
      <c r="E12" s="967">
        <f>255849</f>
        <v>255849</v>
      </c>
      <c r="F12" s="968">
        <f>60000</f>
        <v>60000</v>
      </c>
      <c r="G12" s="968"/>
      <c r="H12" s="969">
        <f t="shared" si="0"/>
        <v>315849</v>
      </c>
      <c r="I12" s="985"/>
      <c r="J12" s="985"/>
      <c r="K12" s="985"/>
      <c r="L12" s="975">
        <v>40229.2986666667</v>
      </c>
      <c r="M12" s="969">
        <f t="shared" si="1"/>
        <v>40229.2986666667</v>
      </c>
      <c r="N12" s="986">
        <f t="shared" si="2"/>
        <v>275619.701333333</v>
      </c>
    </row>
    <row r="13" s="952" customFormat="1" ht="30" customHeight="1" spans="1:14">
      <c r="A13" s="963">
        <v>6</v>
      </c>
      <c r="B13" s="965" t="s">
        <v>770</v>
      </c>
      <c r="C13" s="966" t="s">
        <v>600</v>
      </c>
      <c r="D13" s="966" t="s">
        <v>276</v>
      </c>
      <c r="E13" s="967">
        <f t="shared" ref="E13:E16" si="3">218287.583333333</f>
        <v>218287.583333333</v>
      </c>
      <c r="F13" s="968">
        <f t="shared" ref="F13:F16" si="4">50000</f>
        <v>50000</v>
      </c>
      <c r="G13" s="968"/>
      <c r="H13" s="969">
        <f t="shared" si="0"/>
        <v>268287.583333333</v>
      </c>
      <c r="I13" s="985"/>
      <c r="J13" s="985"/>
      <c r="K13" s="985"/>
      <c r="L13" s="975">
        <v>29305.1955466667</v>
      </c>
      <c r="M13" s="969">
        <f t="shared" si="1"/>
        <v>29305.1955466667</v>
      </c>
      <c r="N13" s="986">
        <f t="shared" si="2"/>
        <v>238982.387786666</v>
      </c>
    </row>
    <row r="14" s="952" customFormat="1" ht="30" customHeight="1" spans="1:14">
      <c r="A14" s="963">
        <v>7</v>
      </c>
      <c r="B14" s="965" t="s">
        <v>771</v>
      </c>
      <c r="C14" s="966" t="s">
        <v>600</v>
      </c>
      <c r="D14" s="966" t="s">
        <v>276</v>
      </c>
      <c r="E14" s="967">
        <f t="shared" si="3"/>
        <v>218287.583333333</v>
      </c>
      <c r="F14" s="968">
        <f t="shared" si="4"/>
        <v>50000</v>
      </c>
      <c r="G14" s="968"/>
      <c r="H14" s="969">
        <f t="shared" si="0"/>
        <v>268287.583333333</v>
      </c>
      <c r="I14" s="985">
        <v>20000</v>
      </c>
      <c r="J14" s="985"/>
      <c r="K14" s="985"/>
      <c r="L14" s="975">
        <v>29305.1955466667</v>
      </c>
      <c r="M14" s="969">
        <f t="shared" si="1"/>
        <v>49305.1955466667</v>
      </c>
      <c r="N14" s="986">
        <f t="shared" si="2"/>
        <v>218982.387786666</v>
      </c>
    </row>
    <row r="15" s="952" customFormat="1" ht="30" customHeight="1" spans="1:14">
      <c r="A15" s="963">
        <v>8</v>
      </c>
      <c r="B15" s="965" t="s">
        <v>772</v>
      </c>
      <c r="C15" s="966" t="s">
        <v>600</v>
      </c>
      <c r="D15" s="966" t="s">
        <v>276</v>
      </c>
      <c r="E15" s="967">
        <f t="shared" si="3"/>
        <v>218287.583333333</v>
      </c>
      <c r="F15" s="968">
        <f t="shared" si="4"/>
        <v>50000</v>
      </c>
      <c r="G15" s="968"/>
      <c r="H15" s="969">
        <f t="shared" si="0"/>
        <v>268287.583333333</v>
      </c>
      <c r="I15" s="985">
        <v>20000</v>
      </c>
      <c r="J15" s="985">
        <v>80000</v>
      </c>
      <c r="K15" s="985"/>
      <c r="L15" s="975">
        <v>29305.1955466667</v>
      </c>
      <c r="M15" s="969">
        <f t="shared" si="1"/>
        <v>129305.195546667</v>
      </c>
      <c r="N15" s="986">
        <f t="shared" si="2"/>
        <v>138982.387786666</v>
      </c>
    </row>
    <row r="16" s="952" customFormat="1" ht="30" customHeight="1" spans="1:14">
      <c r="A16" s="963">
        <v>9</v>
      </c>
      <c r="B16" s="965" t="s">
        <v>773</v>
      </c>
      <c r="C16" s="966" t="s">
        <v>600</v>
      </c>
      <c r="D16" s="966" t="s">
        <v>276</v>
      </c>
      <c r="E16" s="967">
        <f t="shared" si="3"/>
        <v>218287.583333333</v>
      </c>
      <c r="F16" s="968">
        <f t="shared" si="4"/>
        <v>50000</v>
      </c>
      <c r="G16" s="968"/>
      <c r="H16" s="969">
        <f t="shared" si="0"/>
        <v>268287.583333333</v>
      </c>
      <c r="I16" s="985"/>
      <c r="J16" s="985"/>
      <c r="K16" s="985"/>
      <c r="L16" s="975">
        <v>29305.1955466667</v>
      </c>
      <c r="M16" s="969">
        <f t="shared" si="1"/>
        <v>29305.1955466667</v>
      </c>
      <c r="N16" s="986">
        <f t="shared" si="2"/>
        <v>238982.387786666</v>
      </c>
    </row>
    <row r="17" s="952" customFormat="1" ht="30" customHeight="1" spans="1:14">
      <c r="A17" s="963">
        <v>10</v>
      </c>
      <c r="B17" s="972" t="s">
        <v>774</v>
      </c>
      <c r="C17" s="966" t="s">
        <v>600</v>
      </c>
      <c r="D17" s="963" t="s">
        <v>506</v>
      </c>
      <c r="E17" s="970">
        <v>716034</v>
      </c>
      <c r="F17" s="973">
        <v>90000</v>
      </c>
      <c r="G17" s="974"/>
      <c r="H17" s="969">
        <f t="shared" si="0"/>
        <v>806034</v>
      </c>
      <c r="I17" s="985">
        <v>100000</v>
      </c>
      <c r="J17" s="985">
        <v>140000</v>
      </c>
      <c r="K17" s="985">
        <v>100000</v>
      </c>
      <c r="L17" s="985">
        <v>133425.19</v>
      </c>
      <c r="M17" s="969">
        <f t="shared" si="1"/>
        <v>473425.19</v>
      </c>
      <c r="N17" s="986">
        <f t="shared" si="2"/>
        <v>332608.81</v>
      </c>
    </row>
    <row r="18" s="952" customFormat="1" ht="30" customHeight="1" spans="1:14">
      <c r="A18" s="963">
        <v>11</v>
      </c>
      <c r="B18" s="965" t="s">
        <v>775</v>
      </c>
      <c r="C18" s="963" t="s">
        <v>767</v>
      </c>
      <c r="D18" s="966" t="s">
        <v>344</v>
      </c>
      <c r="E18" s="967">
        <f t="shared" ref="E18:E25" si="5">255849</f>
        <v>255849</v>
      </c>
      <c r="F18" s="968">
        <f>100000</f>
        <v>100000</v>
      </c>
      <c r="G18" s="968"/>
      <c r="H18" s="969">
        <f t="shared" si="0"/>
        <v>355849</v>
      </c>
      <c r="I18" s="985"/>
      <c r="J18" s="985"/>
      <c r="K18" s="985"/>
      <c r="L18" s="975">
        <v>46989.67</v>
      </c>
      <c r="M18" s="969">
        <f t="shared" si="1"/>
        <v>46989.67</v>
      </c>
      <c r="N18" s="986">
        <f t="shared" si="2"/>
        <v>308859.33</v>
      </c>
    </row>
    <row r="19" s="952" customFormat="1" ht="30" customHeight="1" spans="1:14">
      <c r="A19" s="963">
        <v>12</v>
      </c>
      <c r="B19" s="965" t="s">
        <v>776</v>
      </c>
      <c r="C19" s="966" t="s">
        <v>600</v>
      </c>
      <c r="D19" s="963" t="s">
        <v>41</v>
      </c>
      <c r="E19" s="975">
        <v>582118.083333333</v>
      </c>
      <c r="F19" s="973">
        <v>80000</v>
      </c>
      <c r="G19" s="963"/>
      <c r="H19" s="969">
        <f t="shared" si="0"/>
        <v>662118.083333333</v>
      </c>
      <c r="I19" s="975">
        <v>50000</v>
      </c>
      <c r="J19" s="975"/>
      <c r="K19" s="975"/>
      <c r="L19" s="975">
        <v>105793.338666667</v>
      </c>
      <c r="M19" s="969">
        <f t="shared" si="1"/>
        <v>155793.338666667</v>
      </c>
      <c r="N19" s="986">
        <f t="shared" si="2"/>
        <v>506324.744666666</v>
      </c>
    </row>
    <row r="20" s="952" customFormat="1" ht="30" customHeight="1" spans="1:14">
      <c r="A20" s="963">
        <v>13</v>
      </c>
      <c r="B20" s="965" t="s">
        <v>777</v>
      </c>
      <c r="C20" s="966" t="s">
        <v>778</v>
      </c>
      <c r="D20" s="966" t="s">
        <v>344</v>
      </c>
      <c r="E20" s="967">
        <f t="shared" si="5"/>
        <v>255849</v>
      </c>
      <c r="F20" s="968">
        <f>100000+200000</f>
        <v>300000</v>
      </c>
      <c r="G20" s="968"/>
      <c r="H20" s="969">
        <f t="shared" si="0"/>
        <v>555849</v>
      </c>
      <c r="I20" s="985"/>
      <c r="J20" s="985"/>
      <c r="K20" s="985"/>
      <c r="L20" s="975">
        <v>80860</v>
      </c>
      <c r="M20" s="969">
        <f t="shared" si="1"/>
        <v>80860</v>
      </c>
      <c r="N20" s="986">
        <f t="shared" si="2"/>
        <v>474989</v>
      </c>
    </row>
    <row r="21" s="952" customFormat="1" ht="30" customHeight="1" spans="1:14">
      <c r="A21" s="963">
        <v>14</v>
      </c>
      <c r="B21" s="965" t="s">
        <v>779</v>
      </c>
      <c r="C21" s="966" t="s">
        <v>600</v>
      </c>
      <c r="D21" s="966" t="s">
        <v>501</v>
      </c>
      <c r="E21" s="967">
        <f>428870.75</f>
        <v>428870.75</v>
      </c>
      <c r="F21" s="968">
        <f>70000</f>
        <v>70000</v>
      </c>
      <c r="G21" s="968"/>
      <c r="H21" s="969">
        <f t="shared" si="0"/>
        <v>498870.75</v>
      </c>
      <c r="I21" s="985"/>
      <c r="J21" s="985"/>
      <c r="K21" s="985">
        <v>25000</v>
      </c>
      <c r="L21" s="985">
        <v>74449.85</v>
      </c>
      <c r="M21" s="969">
        <f t="shared" si="1"/>
        <v>99449.85</v>
      </c>
      <c r="N21" s="986">
        <f t="shared" si="2"/>
        <v>399420.9</v>
      </c>
    </row>
    <row r="22" s="952" customFormat="1" ht="30" customHeight="1" spans="1:14">
      <c r="A22" s="963">
        <v>15</v>
      </c>
      <c r="B22" s="965" t="s">
        <v>780</v>
      </c>
      <c r="C22" s="966" t="s">
        <v>600</v>
      </c>
      <c r="D22" s="966" t="s">
        <v>344</v>
      </c>
      <c r="E22" s="967">
        <f t="shared" si="5"/>
        <v>255849</v>
      </c>
      <c r="F22" s="968">
        <v>100000</v>
      </c>
      <c r="G22" s="968"/>
      <c r="H22" s="969">
        <f t="shared" si="0"/>
        <v>355849</v>
      </c>
      <c r="I22" s="985"/>
      <c r="J22" s="985"/>
      <c r="K22" s="985"/>
      <c r="L22" s="975">
        <v>46989.67</v>
      </c>
      <c r="M22" s="969">
        <f t="shared" si="1"/>
        <v>46989.67</v>
      </c>
      <c r="N22" s="986">
        <f t="shared" si="2"/>
        <v>308859.33</v>
      </c>
    </row>
    <row r="23" s="952" customFormat="1" ht="30" customHeight="1" spans="1:14">
      <c r="A23" s="963">
        <v>16</v>
      </c>
      <c r="B23" s="965" t="s">
        <v>781</v>
      </c>
      <c r="C23" s="966" t="s">
        <v>600</v>
      </c>
      <c r="D23" s="966" t="s">
        <v>344</v>
      </c>
      <c r="E23" s="967">
        <f t="shared" si="5"/>
        <v>255849</v>
      </c>
      <c r="F23" s="968">
        <v>100000</v>
      </c>
      <c r="G23" s="968"/>
      <c r="H23" s="969">
        <f t="shared" si="0"/>
        <v>355849</v>
      </c>
      <c r="I23" s="985"/>
      <c r="J23" s="985"/>
      <c r="K23" s="985">
        <v>30000</v>
      </c>
      <c r="L23" s="975">
        <v>46989.67</v>
      </c>
      <c r="M23" s="969">
        <f t="shared" si="1"/>
        <v>76989.67</v>
      </c>
      <c r="N23" s="986">
        <f t="shared" si="2"/>
        <v>278859.33</v>
      </c>
    </row>
    <row r="24" s="952" customFormat="1" ht="30" customHeight="1" spans="1:14">
      <c r="A24" s="963">
        <v>17</v>
      </c>
      <c r="B24" s="965" t="s">
        <v>782</v>
      </c>
      <c r="C24" s="966" t="s">
        <v>600</v>
      </c>
      <c r="D24" s="966" t="s">
        <v>344</v>
      </c>
      <c r="E24" s="967">
        <f t="shared" si="5"/>
        <v>255849</v>
      </c>
      <c r="F24" s="968">
        <v>100000</v>
      </c>
      <c r="G24" s="968"/>
      <c r="H24" s="969">
        <f t="shared" si="0"/>
        <v>355849</v>
      </c>
      <c r="I24" s="985"/>
      <c r="J24" s="985"/>
      <c r="K24" s="985"/>
      <c r="L24" s="975">
        <v>46989.67</v>
      </c>
      <c r="M24" s="969">
        <f t="shared" si="1"/>
        <v>46989.67</v>
      </c>
      <c r="N24" s="986">
        <f t="shared" si="2"/>
        <v>308859.33</v>
      </c>
    </row>
    <row r="25" s="952" customFormat="1" ht="30" customHeight="1" spans="1:14">
      <c r="A25" s="963">
        <v>18</v>
      </c>
      <c r="B25" s="965" t="s">
        <v>783</v>
      </c>
      <c r="C25" s="966" t="s">
        <v>600</v>
      </c>
      <c r="D25" s="966" t="s">
        <v>344</v>
      </c>
      <c r="E25" s="967">
        <f t="shared" si="5"/>
        <v>255849</v>
      </c>
      <c r="F25" s="968">
        <v>100000</v>
      </c>
      <c r="G25" s="968"/>
      <c r="H25" s="969">
        <f t="shared" si="0"/>
        <v>355849</v>
      </c>
      <c r="I25" s="985"/>
      <c r="J25" s="985"/>
      <c r="K25" s="985">
        <v>32000</v>
      </c>
      <c r="L25" s="975">
        <v>46989.67</v>
      </c>
      <c r="M25" s="969">
        <f t="shared" si="1"/>
        <v>78989.67</v>
      </c>
      <c r="N25" s="986">
        <f t="shared" si="2"/>
        <v>276859.33</v>
      </c>
    </row>
    <row r="26" s="952" customFormat="1" ht="30" customHeight="1" spans="1:14">
      <c r="A26" s="963">
        <v>19</v>
      </c>
      <c r="B26" s="965" t="s">
        <v>713</v>
      </c>
      <c r="C26" s="966" t="s">
        <v>767</v>
      </c>
      <c r="D26" s="966" t="s">
        <v>504</v>
      </c>
      <c r="E26" s="967">
        <f>353512.5+39820.12</f>
        <v>393332.62</v>
      </c>
      <c r="F26" s="968">
        <f>110000</f>
        <v>110000</v>
      </c>
      <c r="G26" s="968"/>
      <c r="H26" s="969">
        <f t="shared" si="0"/>
        <v>503332.62</v>
      </c>
      <c r="I26" s="985"/>
      <c r="J26" s="985"/>
      <c r="K26" s="985"/>
      <c r="L26" s="973">
        <f>75306.53</f>
        <v>75306.53</v>
      </c>
      <c r="M26" s="969">
        <f t="shared" si="1"/>
        <v>75306.53</v>
      </c>
      <c r="N26" s="986">
        <f t="shared" si="2"/>
        <v>428026.09</v>
      </c>
    </row>
    <row r="27" s="952" customFormat="1" ht="30" customHeight="1" spans="1:14">
      <c r="A27" s="963">
        <v>20</v>
      </c>
      <c r="B27" s="965" t="s">
        <v>784</v>
      </c>
      <c r="C27" s="966" t="s">
        <v>600</v>
      </c>
      <c r="D27" s="966" t="s">
        <v>41</v>
      </c>
      <c r="E27" s="967">
        <v>582118.083333333</v>
      </c>
      <c r="F27" s="968">
        <v>160000</v>
      </c>
      <c r="G27" s="968"/>
      <c r="H27" s="969">
        <f t="shared" si="0"/>
        <v>742118.083333333</v>
      </c>
      <c r="I27" s="985"/>
      <c r="J27" s="985"/>
      <c r="K27" s="985"/>
      <c r="L27" s="973">
        <v>121153.34</v>
      </c>
      <c r="M27" s="969">
        <f t="shared" si="1"/>
        <v>121153.34</v>
      </c>
      <c r="N27" s="986">
        <f t="shared" si="2"/>
        <v>620964.743333333</v>
      </c>
    </row>
    <row r="28" s="952" customFormat="1" ht="30" customHeight="1" spans="1:14">
      <c r="A28" s="976">
        <v>21</v>
      </c>
      <c r="B28" s="965" t="s">
        <v>785</v>
      </c>
      <c r="C28" s="963" t="s">
        <v>767</v>
      </c>
      <c r="D28" s="963" t="s">
        <v>80</v>
      </c>
      <c r="E28" s="970">
        <f>293029.666666667</f>
        <v>293029.666666667</v>
      </c>
      <c r="F28" s="971">
        <v>60000</v>
      </c>
      <c r="G28" s="968"/>
      <c r="H28" s="969">
        <f t="shared" si="0"/>
        <v>353029.666666667</v>
      </c>
      <c r="I28" s="985"/>
      <c r="J28" s="985"/>
      <c r="K28" s="985"/>
      <c r="L28" s="985">
        <v>42537.3319466667</v>
      </c>
      <c r="M28" s="969">
        <f t="shared" si="1"/>
        <v>42537.3319466667</v>
      </c>
      <c r="N28" s="986">
        <f t="shared" si="2"/>
        <v>310492.33472</v>
      </c>
    </row>
    <row r="29" s="952" customFormat="1" ht="30" customHeight="1" spans="1:14">
      <c r="A29" s="963">
        <v>22</v>
      </c>
      <c r="B29" s="965" t="s">
        <v>786</v>
      </c>
      <c r="C29" s="963" t="s">
        <v>767</v>
      </c>
      <c r="D29" s="966" t="s">
        <v>41</v>
      </c>
      <c r="E29" s="967">
        <f>582118.083333333</f>
        <v>582118.083333333</v>
      </c>
      <c r="F29" s="968">
        <f>160000</f>
        <v>160000</v>
      </c>
      <c r="G29" s="968"/>
      <c r="H29" s="969">
        <f t="shared" si="0"/>
        <v>742118.083333333</v>
      </c>
      <c r="I29" s="985"/>
      <c r="J29" s="985"/>
      <c r="K29" s="985"/>
      <c r="L29" s="973">
        <f>121153.34</f>
        <v>121153.34</v>
      </c>
      <c r="M29" s="969">
        <f t="shared" si="1"/>
        <v>121153.34</v>
      </c>
      <c r="N29" s="986">
        <f t="shared" si="2"/>
        <v>620964.743333333</v>
      </c>
    </row>
    <row r="30" s="952" customFormat="1" ht="30" customHeight="1" spans="1:14">
      <c r="A30" s="963">
        <v>23</v>
      </c>
      <c r="B30" s="972" t="s">
        <v>787</v>
      </c>
      <c r="C30" s="963" t="s">
        <v>767</v>
      </c>
      <c r="D30" s="966" t="s">
        <v>276</v>
      </c>
      <c r="E30" s="967">
        <f t="shared" ref="E30:E32" si="6">218287.583333333</f>
        <v>218287.583333333</v>
      </c>
      <c r="F30" s="968">
        <f t="shared" ref="F30:F32" si="7">50000</f>
        <v>50000</v>
      </c>
      <c r="G30" s="968"/>
      <c r="H30" s="969">
        <f t="shared" si="0"/>
        <v>268287.583333333</v>
      </c>
      <c r="I30" s="985"/>
      <c r="J30" s="985"/>
      <c r="K30" s="985"/>
      <c r="L30" s="975">
        <v>29305.1955466667</v>
      </c>
      <c r="M30" s="969">
        <f t="shared" si="1"/>
        <v>29305.1955466667</v>
      </c>
      <c r="N30" s="986">
        <f t="shared" si="2"/>
        <v>238982.387786666</v>
      </c>
    </row>
    <row r="31" s="952" customFormat="1" ht="30" customHeight="1" spans="1:14">
      <c r="A31" s="963">
        <v>24</v>
      </c>
      <c r="B31" s="972" t="s">
        <v>788</v>
      </c>
      <c r="C31" s="963" t="s">
        <v>767</v>
      </c>
      <c r="D31" s="966" t="s">
        <v>276</v>
      </c>
      <c r="E31" s="967">
        <f t="shared" si="6"/>
        <v>218287.583333333</v>
      </c>
      <c r="F31" s="968">
        <f t="shared" si="7"/>
        <v>50000</v>
      </c>
      <c r="G31" s="968"/>
      <c r="H31" s="969">
        <f t="shared" si="0"/>
        <v>268287.583333333</v>
      </c>
      <c r="I31" s="985"/>
      <c r="J31" s="985"/>
      <c r="K31" s="985"/>
      <c r="L31" s="975">
        <v>29305.1955466667</v>
      </c>
      <c r="M31" s="969">
        <f t="shared" si="1"/>
        <v>29305.1955466667</v>
      </c>
      <c r="N31" s="986">
        <f t="shared" si="2"/>
        <v>238982.387786666</v>
      </c>
    </row>
    <row r="32" s="952" customFormat="1" ht="30" customHeight="1" spans="1:14">
      <c r="A32" s="963">
        <v>25</v>
      </c>
      <c r="B32" s="972" t="s">
        <v>789</v>
      </c>
      <c r="C32" s="963" t="s">
        <v>767</v>
      </c>
      <c r="D32" s="966" t="s">
        <v>276</v>
      </c>
      <c r="E32" s="967">
        <f t="shared" si="6"/>
        <v>218287.583333333</v>
      </c>
      <c r="F32" s="968">
        <f t="shared" si="7"/>
        <v>50000</v>
      </c>
      <c r="G32" s="968"/>
      <c r="H32" s="969">
        <f t="shared" si="0"/>
        <v>268287.583333333</v>
      </c>
      <c r="I32" s="985"/>
      <c r="J32" s="985"/>
      <c r="K32" s="985"/>
      <c r="L32" s="975">
        <v>29305.1955466667</v>
      </c>
      <c r="M32" s="969">
        <f t="shared" si="1"/>
        <v>29305.1955466667</v>
      </c>
      <c r="N32" s="986">
        <f t="shared" si="2"/>
        <v>238982.387786666</v>
      </c>
    </row>
    <row r="33" s="952" customFormat="1" ht="30" customHeight="1" spans="1:14">
      <c r="A33" s="963">
        <v>26</v>
      </c>
      <c r="B33" s="972" t="s">
        <v>790</v>
      </c>
      <c r="C33" s="963" t="s">
        <v>767</v>
      </c>
      <c r="D33" s="966" t="s">
        <v>344</v>
      </c>
      <c r="E33" s="967">
        <f t="shared" ref="E33:E36" si="8">255849</f>
        <v>255849</v>
      </c>
      <c r="F33" s="968">
        <f t="shared" ref="F33:F36" si="9">60000</f>
        <v>60000</v>
      </c>
      <c r="G33" s="968"/>
      <c r="H33" s="969">
        <f t="shared" si="0"/>
        <v>315849</v>
      </c>
      <c r="I33" s="985"/>
      <c r="J33" s="985"/>
      <c r="K33" s="985"/>
      <c r="L33" s="975">
        <v>40229.2986666667</v>
      </c>
      <c r="M33" s="969">
        <f t="shared" si="1"/>
        <v>40229.2986666667</v>
      </c>
      <c r="N33" s="986">
        <f t="shared" si="2"/>
        <v>275619.701333333</v>
      </c>
    </row>
    <row r="34" s="952" customFormat="1" ht="30" customHeight="1" spans="1:14">
      <c r="A34" s="963">
        <v>27</v>
      </c>
      <c r="B34" s="972" t="s">
        <v>791</v>
      </c>
      <c r="C34" s="963" t="s">
        <v>767</v>
      </c>
      <c r="D34" s="966" t="s">
        <v>344</v>
      </c>
      <c r="E34" s="967">
        <f t="shared" si="8"/>
        <v>255849</v>
      </c>
      <c r="F34" s="968">
        <f t="shared" si="9"/>
        <v>60000</v>
      </c>
      <c r="G34" s="968"/>
      <c r="H34" s="969">
        <f t="shared" si="0"/>
        <v>315849</v>
      </c>
      <c r="I34" s="985"/>
      <c r="J34" s="985"/>
      <c r="K34" s="985"/>
      <c r="L34" s="975">
        <v>40229.2986666667</v>
      </c>
      <c r="M34" s="969">
        <f t="shared" si="1"/>
        <v>40229.2986666667</v>
      </c>
      <c r="N34" s="986">
        <f t="shared" si="2"/>
        <v>275619.701333333</v>
      </c>
    </row>
    <row r="35" s="952" customFormat="1" ht="30" customHeight="1" spans="1:14">
      <c r="A35" s="963">
        <v>28</v>
      </c>
      <c r="B35" s="972" t="s">
        <v>792</v>
      </c>
      <c r="C35" s="963" t="s">
        <v>767</v>
      </c>
      <c r="D35" s="966" t="s">
        <v>344</v>
      </c>
      <c r="E35" s="967">
        <f t="shared" si="8"/>
        <v>255849</v>
      </c>
      <c r="F35" s="968">
        <f t="shared" si="9"/>
        <v>60000</v>
      </c>
      <c r="G35" s="968"/>
      <c r="H35" s="969">
        <f t="shared" si="0"/>
        <v>315849</v>
      </c>
      <c r="I35" s="985"/>
      <c r="J35" s="985"/>
      <c r="K35" s="985"/>
      <c r="L35" s="975">
        <v>40229.2986666667</v>
      </c>
      <c r="M35" s="969">
        <f t="shared" si="1"/>
        <v>40229.2986666667</v>
      </c>
      <c r="N35" s="986">
        <f t="shared" si="2"/>
        <v>275619.701333333</v>
      </c>
    </row>
    <row r="36" s="952" customFormat="1" ht="30" customHeight="1" spans="1:14">
      <c r="A36" s="963">
        <v>29</v>
      </c>
      <c r="B36" s="972" t="s">
        <v>793</v>
      </c>
      <c r="C36" s="963" t="s">
        <v>767</v>
      </c>
      <c r="D36" s="966" t="s">
        <v>344</v>
      </c>
      <c r="E36" s="967">
        <f t="shared" si="8"/>
        <v>255849</v>
      </c>
      <c r="F36" s="968">
        <f t="shared" si="9"/>
        <v>60000</v>
      </c>
      <c r="G36" s="968"/>
      <c r="H36" s="969">
        <f t="shared" si="0"/>
        <v>315849</v>
      </c>
      <c r="I36" s="985"/>
      <c r="J36" s="985"/>
      <c r="K36" s="985"/>
      <c r="L36" s="975">
        <v>40229.2986666667</v>
      </c>
      <c r="M36" s="969">
        <f t="shared" si="1"/>
        <v>40229.2986666667</v>
      </c>
      <c r="N36" s="986">
        <f t="shared" si="2"/>
        <v>275619.701333333</v>
      </c>
    </row>
    <row r="37" s="952" customFormat="1" ht="30" customHeight="1" spans="1:14">
      <c r="A37" s="963">
        <v>30</v>
      </c>
      <c r="B37" s="972" t="s">
        <v>794</v>
      </c>
      <c r="C37" s="963" t="s">
        <v>767</v>
      </c>
      <c r="D37" s="963" t="s">
        <v>80</v>
      </c>
      <c r="E37" s="970">
        <f>293029.666666667</f>
        <v>293029.666666667</v>
      </c>
      <c r="F37" s="971">
        <v>60000</v>
      </c>
      <c r="G37" s="968"/>
      <c r="H37" s="969">
        <f t="shared" si="0"/>
        <v>353029.666666667</v>
      </c>
      <c r="I37" s="985"/>
      <c r="J37" s="985"/>
      <c r="K37" s="985">
        <v>12000</v>
      </c>
      <c r="L37" s="985">
        <v>42537.3319466667</v>
      </c>
      <c r="M37" s="969">
        <f t="shared" si="1"/>
        <v>54537.3319466667</v>
      </c>
      <c r="N37" s="986">
        <f t="shared" si="2"/>
        <v>298492.33472</v>
      </c>
    </row>
    <row r="38" s="952" customFormat="1" ht="30" customHeight="1" spans="1:14">
      <c r="A38" s="963">
        <v>31</v>
      </c>
      <c r="B38" s="972" t="s">
        <v>795</v>
      </c>
      <c r="C38" s="963" t="s">
        <v>767</v>
      </c>
      <c r="D38" s="966" t="s">
        <v>504</v>
      </c>
      <c r="E38" s="967">
        <f>353512.5</f>
        <v>353512.5</v>
      </c>
      <c r="F38" s="968">
        <f>60000</f>
        <v>60000</v>
      </c>
      <c r="G38" s="968"/>
      <c r="H38" s="969">
        <f t="shared" si="0"/>
        <v>413512.5</v>
      </c>
      <c r="I38" s="985"/>
      <c r="J38" s="985"/>
      <c r="K38" s="985"/>
      <c r="L38" s="973">
        <v>58061.0666666667</v>
      </c>
      <c r="M38" s="969">
        <f t="shared" si="1"/>
        <v>58061.0666666667</v>
      </c>
      <c r="N38" s="986">
        <f t="shared" si="2"/>
        <v>355451.433333333</v>
      </c>
    </row>
    <row r="39" s="952" customFormat="1" ht="30" customHeight="1" spans="1:14">
      <c r="A39" s="963">
        <v>32</v>
      </c>
      <c r="B39" s="972" t="s">
        <v>796</v>
      </c>
      <c r="C39" s="963" t="s">
        <v>767</v>
      </c>
      <c r="D39" s="966" t="s">
        <v>504</v>
      </c>
      <c r="E39" s="967">
        <f>353512.5</f>
        <v>353512.5</v>
      </c>
      <c r="F39" s="968">
        <f>60000</f>
        <v>60000</v>
      </c>
      <c r="G39" s="968"/>
      <c r="H39" s="969">
        <f t="shared" si="0"/>
        <v>413512.5</v>
      </c>
      <c r="I39" s="985"/>
      <c r="J39" s="985"/>
      <c r="K39" s="985"/>
      <c r="L39" s="973">
        <v>58061.0666666667</v>
      </c>
      <c r="M39" s="969">
        <f t="shared" si="1"/>
        <v>58061.0666666667</v>
      </c>
      <c r="N39" s="986">
        <f t="shared" si="2"/>
        <v>355451.433333333</v>
      </c>
    </row>
    <row r="40" s="952" customFormat="1" ht="30" customHeight="1" spans="1:14">
      <c r="A40" s="963">
        <v>33</v>
      </c>
      <c r="B40" s="972" t="s">
        <v>797</v>
      </c>
      <c r="C40" s="966" t="s">
        <v>600</v>
      </c>
      <c r="D40" s="966" t="s">
        <v>276</v>
      </c>
      <c r="E40" s="967">
        <f>218287.583333333</f>
        <v>218287.583333333</v>
      </c>
      <c r="F40" s="968">
        <f>50000</f>
        <v>50000</v>
      </c>
      <c r="G40" s="968"/>
      <c r="H40" s="969">
        <f>(E40+F40+G40)</f>
        <v>268287.583333333</v>
      </c>
      <c r="I40" s="985"/>
      <c r="J40" s="985"/>
      <c r="K40" s="985"/>
      <c r="L40" s="975">
        <v>29305.1955466667</v>
      </c>
      <c r="M40" s="969">
        <f t="shared" si="1"/>
        <v>29305.1955466667</v>
      </c>
      <c r="N40" s="986">
        <f t="shared" si="2"/>
        <v>238982.387786666</v>
      </c>
    </row>
    <row r="41" s="952" customFormat="1" ht="30" customHeight="1" spans="1:14">
      <c r="A41" s="963">
        <v>34</v>
      </c>
      <c r="B41" s="972" t="s">
        <v>798</v>
      </c>
      <c r="C41" s="966" t="s">
        <v>767</v>
      </c>
      <c r="D41" s="966" t="s">
        <v>344</v>
      </c>
      <c r="E41" s="967">
        <f>255849</f>
        <v>255849</v>
      </c>
      <c r="F41" s="968">
        <f>100000</f>
        <v>100000</v>
      </c>
      <c r="G41" s="968"/>
      <c r="H41" s="969">
        <f t="shared" ref="H41:H46" si="10">E41+F41+G41</f>
        <v>355849</v>
      </c>
      <c r="I41" s="985"/>
      <c r="J41" s="985"/>
      <c r="K41" s="985">
        <v>50000</v>
      </c>
      <c r="L41" s="985">
        <v>46989.67</v>
      </c>
      <c r="M41" s="969">
        <f t="shared" si="1"/>
        <v>96989.67</v>
      </c>
      <c r="N41" s="986">
        <f t="shared" si="2"/>
        <v>258859.33</v>
      </c>
    </row>
    <row r="42" s="952" customFormat="1" ht="30" customHeight="1" spans="1:14">
      <c r="A42" s="963">
        <v>35</v>
      </c>
      <c r="B42" s="977" t="s">
        <v>799</v>
      </c>
      <c r="C42" s="966" t="s">
        <v>767</v>
      </c>
      <c r="D42" s="978" t="s">
        <v>66</v>
      </c>
      <c r="E42" s="979">
        <f>390248.916666667</f>
        <v>390248.916666667</v>
      </c>
      <c r="F42" s="979">
        <f>70000</f>
        <v>70000</v>
      </c>
      <c r="G42" s="979"/>
      <c r="H42" s="969">
        <f t="shared" si="10"/>
        <v>460248.916666667</v>
      </c>
      <c r="I42" s="969"/>
      <c r="J42" s="969"/>
      <c r="K42" s="969"/>
      <c r="L42" s="969">
        <v>67034.46</v>
      </c>
      <c r="M42" s="969">
        <f t="shared" si="1"/>
        <v>67034.46</v>
      </c>
      <c r="N42" s="986">
        <f t="shared" si="2"/>
        <v>393214.456666667</v>
      </c>
    </row>
    <row r="43" s="952" customFormat="1" ht="37" customHeight="1" spans="1:14">
      <c r="A43" s="963">
        <v>32</v>
      </c>
      <c r="B43" s="972" t="s">
        <v>800</v>
      </c>
      <c r="C43" s="963" t="s">
        <v>801</v>
      </c>
      <c r="D43" s="966" t="s">
        <v>504</v>
      </c>
      <c r="E43" s="967">
        <f>353512.5+203512.5</f>
        <v>557025</v>
      </c>
      <c r="F43" s="968">
        <f>60000+60000</f>
        <v>120000</v>
      </c>
      <c r="G43" s="968"/>
      <c r="H43" s="969">
        <f t="shared" si="10"/>
        <v>677025</v>
      </c>
      <c r="I43" s="985"/>
      <c r="J43" s="985"/>
      <c r="K43" s="985"/>
      <c r="L43" s="973">
        <v>99840.19</v>
      </c>
      <c r="M43" s="969">
        <f t="shared" si="1"/>
        <v>99840.19</v>
      </c>
      <c r="N43" s="986">
        <f t="shared" si="2"/>
        <v>577184.81</v>
      </c>
    </row>
    <row r="44" s="952" customFormat="1" ht="30" customHeight="1" spans="1:14">
      <c r="A44" s="963">
        <v>23</v>
      </c>
      <c r="B44" s="972" t="s">
        <v>802</v>
      </c>
      <c r="C44" s="963" t="s">
        <v>767</v>
      </c>
      <c r="D44" s="966" t="s">
        <v>375</v>
      </c>
      <c r="E44" s="967">
        <v>173860</v>
      </c>
      <c r="F44" s="968">
        <v>30000</v>
      </c>
      <c r="G44" s="968"/>
      <c r="H44" s="969">
        <f t="shared" si="10"/>
        <v>203860</v>
      </c>
      <c r="I44" s="975">
        <f>5000</f>
        <v>5000</v>
      </c>
      <c r="J44" s="975">
        <v>8750</v>
      </c>
      <c r="K44" s="985"/>
      <c r="L44" s="975">
        <v>18553.77</v>
      </c>
      <c r="M44" s="969">
        <f t="shared" si="1"/>
        <v>32303.77</v>
      </c>
      <c r="N44" s="986">
        <f t="shared" si="2"/>
        <v>171556.23</v>
      </c>
    </row>
    <row r="45" s="952" customFormat="1" ht="30" customHeight="1" spans="1:14">
      <c r="A45" s="963">
        <v>23</v>
      </c>
      <c r="B45" s="972" t="s">
        <v>803</v>
      </c>
      <c r="C45" s="963" t="s">
        <v>767</v>
      </c>
      <c r="D45" s="966" t="s">
        <v>375</v>
      </c>
      <c r="E45" s="967">
        <v>173860</v>
      </c>
      <c r="F45" s="968">
        <v>30000</v>
      </c>
      <c r="G45" s="968"/>
      <c r="H45" s="969">
        <f t="shared" si="10"/>
        <v>203860</v>
      </c>
      <c r="I45" s="985"/>
      <c r="J45" s="985"/>
      <c r="K45" s="985"/>
      <c r="L45" s="975">
        <v>18553.77</v>
      </c>
      <c r="M45" s="969">
        <f t="shared" si="1"/>
        <v>18553.77</v>
      </c>
      <c r="N45" s="986">
        <f t="shared" si="2"/>
        <v>185306.23</v>
      </c>
    </row>
    <row r="46" s="952" customFormat="1" ht="30" customHeight="1" spans="1:14">
      <c r="A46" s="963">
        <v>34</v>
      </c>
      <c r="B46" s="972" t="s">
        <v>804</v>
      </c>
      <c r="C46" s="966" t="s">
        <v>805</v>
      </c>
      <c r="D46" s="966" t="s">
        <v>344</v>
      </c>
      <c r="E46" s="967">
        <f>255849*(16/31)</f>
        <v>132051.096774194</v>
      </c>
      <c r="F46" s="968">
        <f>100000*(16/31)</f>
        <v>51612.9032258064</v>
      </c>
      <c r="G46" s="968"/>
      <c r="H46" s="969">
        <f t="shared" si="10"/>
        <v>183664</v>
      </c>
      <c r="I46" s="985"/>
      <c r="J46" s="985"/>
      <c r="K46" s="985"/>
      <c r="L46" s="985">
        <v>16303.9</v>
      </c>
      <c r="M46" s="969">
        <f t="shared" si="1"/>
        <v>16303.9</v>
      </c>
      <c r="N46" s="986">
        <f t="shared" si="2"/>
        <v>167360.1</v>
      </c>
    </row>
  </sheetData>
  <mergeCells count="3">
    <mergeCell ref="A1:N1"/>
    <mergeCell ref="I4:M4"/>
    <mergeCell ref="N4:N5"/>
  </mergeCells>
  <pageMargins left="0.75" right="0.75" top="1" bottom="1" header="0.5" footer="0.5"/>
  <pageSetup paperSize="256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K6" sqref="K6"/>
    </sheetView>
  </sheetViews>
  <sheetFormatPr defaultColWidth="8.72727272727273" defaultRowHeight="12.5" outlineLevelRow="5"/>
  <cols>
    <col min="1" max="1" width="18.9090909090909" customWidth="1"/>
    <col min="2" max="2" width="26.4545454545455" customWidth="1"/>
    <col min="3" max="3" width="14" customWidth="1"/>
    <col min="4" max="4" width="15.4545454545455" customWidth="1"/>
    <col min="6" max="6" width="15.0909090909091"/>
    <col min="8" max="8" width="13.6363636363636"/>
    <col min="9" max="9" width="15.0909090909091"/>
    <col min="10" max="10" width="11.7272727272727"/>
    <col min="11" max="11" width="15.0909090909091"/>
    <col min="12" max="12" width="13.6363636363636"/>
    <col min="13" max="14" width="15.0909090909091"/>
    <col min="15" max="15" width="15.7272727272727" customWidth="1"/>
    <col min="16" max="16" width="11.6363636363636" customWidth="1"/>
  </cols>
  <sheetData>
    <row r="1" s="769" customFormat="1" ht="49.5" customHeight="1" spans="1:15">
      <c r="A1" s="691" t="s">
        <v>2</v>
      </c>
      <c r="B1" s="692" t="s">
        <v>3</v>
      </c>
      <c r="C1" s="693" t="s">
        <v>4</v>
      </c>
      <c r="D1" s="684" t="s">
        <v>5</v>
      </c>
      <c r="E1" s="684" t="s">
        <v>6</v>
      </c>
      <c r="F1" s="684" t="s">
        <v>7</v>
      </c>
      <c r="G1" s="684" t="s">
        <v>7</v>
      </c>
      <c r="H1" s="684" t="s">
        <v>8</v>
      </c>
      <c r="I1" s="694" t="s">
        <v>9</v>
      </c>
      <c r="J1" s="684" t="s">
        <v>14</v>
      </c>
      <c r="K1" s="946" t="s">
        <v>15</v>
      </c>
      <c r="L1" s="684" t="s">
        <v>16</v>
      </c>
      <c r="M1" s="695"/>
      <c r="N1" s="694" t="s">
        <v>701</v>
      </c>
      <c r="O1" s="696" t="s">
        <v>806</v>
      </c>
    </row>
    <row r="2" s="1" customFormat="1" ht="17.25" customHeight="1" spans="2:15">
      <c r="B2" s="8"/>
      <c r="C2" s="8"/>
      <c r="D2" s="82" t="s">
        <v>20</v>
      </c>
      <c r="E2" s="82" t="s">
        <v>20</v>
      </c>
      <c r="F2" s="82" t="s">
        <v>20</v>
      </c>
      <c r="G2" s="82" t="s">
        <v>20</v>
      </c>
      <c r="H2" s="82" t="s">
        <v>20</v>
      </c>
      <c r="I2" s="507" t="s">
        <v>20</v>
      </c>
      <c r="J2" s="82" t="s">
        <v>20</v>
      </c>
      <c r="K2" s="82" t="s">
        <v>20</v>
      </c>
      <c r="L2" s="82" t="s">
        <v>20</v>
      </c>
      <c r="M2" s="508"/>
      <c r="N2" s="82"/>
      <c r="O2" s="507"/>
    </row>
    <row r="3" s="769" customFormat="1" ht="37" customHeight="1" spans="1:15">
      <c r="A3" s="775" t="s">
        <v>242</v>
      </c>
      <c r="B3" s="776" t="s">
        <v>557</v>
      </c>
      <c r="C3" s="739" t="s">
        <v>55</v>
      </c>
      <c r="D3" s="741">
        <v>541351.333333333</v>
      </c>
      <c r="E3" s="741"/>
      <c r="F3" s="742">
        <f>120000</f>
        <v>120000</v>
      </c>
      <c r="G3" s="742"/>
      <c r="H3" s="741">
        <v>59548.6466666666</v>
      </c>
      <c r="I3" s="746">
        <f>SUM(D3:H3)</f>
        <v>720899.98</v>
      </c>
      <c r="J3" s="741">
        <v>8443.27083333333</v>
      </c>
      <c r="K3" s="741">
        <v>107143.198346667</v>
      </c>
      <c r="L3" s="741">
        <v>43308.1066666666</v>
      </c>
      <c r="M3" s="750">
        <f>SUM(J3:L3)</f>
        <v>158894.575846667</v>
      </c>
      <c r="N3" s="741">
        <f>I3-M3</f>
        <v>562005.404153333</v>
      </c>
      <c r="O3" s="746"/>
    </row>
    <row r="4" s="1" customFormat="1" ht="41" customHeight="1" spans="1:15">
      <c r="A4" s="775" t="s">
        <v>242</v>
      </c>
      <c r="B4" s="776" t="s">
        <v>807</v>
      </c>
      <c r="C4" s="739" t="s">
        <v>501</v>
      </c>
      <c r="D4" s="741">
        <v>542419.5</v>
      </c>
      <c r="E4" s="741"/>
      <c r="F4" s="742">
        <f>140000</f>
        <v>140000</v>
      </c>
      <c r="G4" s="742"/>
      <c r="H4" s="741">
        <v>59666.145</v>
      </c>
      <c r="I4" s="746">
        <f>SUM(D4:H4)</f>
        <v>742085.645</v>
      </c>
      <c r="J4" s="213">
        <f>338365.25*0.025</f>
        <v>8459.13125</v>
      </c>
      <c r="K4" s="741">
        <v>112831.954026667</v>
      </c>
      <c r="L4" s="741">
        <f>D4*0.08</f>
        <v>43393.56</v>
      </c>
      <c r="M4" s="750">
        <f>SUM(J4:L4)</f>
        <v>164684.645276667</v>
      </c>
      <c r="N4" s="741">
        <f>I4-M4</f>
        <v>577400.999723333</v>
      </c>
      <c r="O4" s="746"/>
    </row>
    <row r="5" ht="18" customHeight="1" spans="1:15">
      <c r="A5" t="s">
        <v>808</v>
      </c>
      <c r="D5" s="411">
        <f t="shared" ref="D5:L5" si="0">D4-D3</f>
        <v>1068.16666666698</v>
      </c>
      <c r="E5" s="411">
        <f t="shared" si="0"/>
        <v>0</v>
      </c>
      <c r="F5" s="411">
        <f t="shared" si="0"/>
        <v>20000</v>
      </c>
      <c r="G5" s="411">
        <f t="shared" si="0"/>
        <v>0</v>
      </c>
      <c r="H5" s="411">
        <f t="shared" si="0"/>
        <v>117.498333333395</v>
      </c>
      <c r="I5" s="411">
        <f t="shared" si="0"/>
        <v>21185.6650000004</v>
      </c>
      <c r="J5" s="411">
        <f t="shared" si="0"/>
        <v>15.8604166666701</v>
      </c>
      <c r="K5" s="411">
        <f t="shared" si="0"/>
        <v>5688.75567999999</v>
      </c>
      <c r="L5" s="411">
        <f t="shared" si="0"/>
        <v>85.4533333333966</v>
      </c>
      <c r="M5" s="750">
        <f>SUM(J5:L5)</f>
        <v>5790.06943000005</v>
      </c>
      <c r="N5" s="741">
        <f>I5-M5</f>
        <v>15395.5955700003</v>
      </c>
      <c r="O5" s="411">
        <f>I5*2</f>
        <v>42371.3300000008</v>
      </c>
    </row>
    <row r="6" spans="9:11">
      <c r="I6" s="411">
        <f>I5*2</f>
        <v>42371.3300000008</v>
      </c>
      <c r="K6" s="411">
        <f>K5*2</f>
        <v>11377.51136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4" sqref="F4:F8"/>
    </sheetView>
  </sheetViews>
  <sheetFormatPr defaultColWidth="8.72727272727273" defaultRowHeight="12.5" outlineLevelCol="7"/>
  <cols>
    <col min="1" max="1" width="4.90909090909091" customWidth="1"/>
    <col min="2" max="2" width="21.6363636363636" customWidth="1"/>
    <col min="4" max="4" width="11.3636363636364" customWidth="1"/>
    <col min="5" max="6" width="16.8181818181818" customWidth="1"/>
    <col min="7" max="7" width="19" customWidth="1"/>
    <col min="8" max="8" width="15.1818181818182" customWidth="1"/>
  </cols>
  <sheetData>
    <row r="1" s="1" customFormat="1" ht="60" customHeight="1" spans="1:8">
      <c r="A1" s="4"/>
      <c r="B1" s="5" t="s">
        <v>2</v>
      </c>
      <c r="C1" s="6" t="s">
        <v>3</v>
      </c>
      <c r="D1" s="7" t="s">
        <v>4</v>
      </c>
      <c r="E1" s="218" t="s">
        <v>809</v>
      </c>
      <c r="F1" s="218" t="s">
        <v>810</v>
      </c>
      <c r="G1" s="218" t="s">
        <v>811</v>
      </c>
      <c r="H1" s="218" t="s">
        <v>812</v>
      </c>
    </row>
    <row r="2" s="1" customFormat="1" ht="17.25" customHeight="1" spans="3:8">
      <c r="C2" s="8"/>
      <c r="D2" s="8"/>
      <c r="E2" s="82" t="s">
        <v>20</v>
      </c>
      <c r="F2" s="82" t="s">
        <v>20</v>
      </c>
      <c r="G2" s="82" t="s">
        <v>20</v>
      </c>
      <c r="H2" s="82" t="s">
        <v>20</v>
      </c>
    </row>
    <row r="4" s="1" customFormat="1" ht="20.1" customHeight="1" spans="1:8">
      <c r="A4" s="4">
        <v>1</v>
      </c>
      <c r="B4" s="11" t="s">
        <v>242</v>
      </c>
      <c r="C4" s="4" t="s">
        <v>557</v>
      </c>
      <c r="D4" s="10" t="s">
        <v>55</v>
      </c>
      <c r="E4" s="85">
        <v>541351.333333333</v>
      </c>
      <c r="F4" s="85">
        <f>E4*0.11</f>
        <v>59548.6466666666</v>
      </c>
      <c r="G4" s="85">
        <v>41432.938525</v>
      </c>
      <c r="H4" s="85">
        <f>F4-G4</f>
        <v>18115.7081416666</v>
      </c>
    </row>
    <row r="5" s="1" customFormat="1" ht="20.1" customHeight="1" spans="1:8">
      <c r="A5" s="4">
        <v>2</v>
      </c>
      <c r="B5" s="11" t="s">
        <v>244</v>
      </c>
      <c r="C5" s="4" t="s">
        <v>557</v>
      </c>
      <c r="D5" s="10" t="s">
        <v>501</v>
      </c>
      <c r="E5" s="85">
        <v>542419.5</v>
      </c>
      <c r="F5" s="85">
        <f>E5*0.11</f>
        <v>59666.145</v>
      </c>
      <c r="G5" s="85">
        <v>42433.938525</v>
      </c>
      <c r="H5" s="85">
        <f>F5-G5</f>
        <v>17232.206475</v>
      </c>
    </row>
    <row r="6" s="1" customFormat="1" ht="20.1" customHeight="1" spans="1:8">
      <c r="A6" s="4">
        <v>3</v>
      </c>
      <c r="B6" s="11" t="s">
        <v>247</v>
      </c>
      <c r="C6" s="4" t="s">
        <v>248</v>
      </c>
      <c r="D6" s="15" t="s">
        <v>507</v>
      </c>
      <c r="E6" s="220">
        <v>329950.416666667</v>
      </c>
      <c r="F6" s="85">
        <f>E6*0.11</f>
        <v>36294.5458333334</v>
      </c>
      <c r="G6" s="85">
        <v>25333.44748</v>
      </c>
      <c r="H6" s="85">
        <f>F6-G6</f>
        <v>10961.0983533334</v>
      </c>
    </row>
    <row r="7" s="1" customFormat="1" ht="20.1" customHeight="1" spans="1:8">
      <c r="A7" s="4">
        <v>4</v>
      </c>
      <c r="B7" s="18" t="s">
        <v>250</v>
      </c>
      <c r="C7" s="4" t="s">
        <v>248</v>
      </c>
      <c r="D7" s="10" t="s">
        <v>344</v>
      </c>
      <c r="E7" s="220">
        <v>330407.083333333</v>
      </c>
      <c r="F7" s="85">
        <f>E7*0.11</f>
        <v>36344.7791666666</v>
      </c>
      <c r="G7" s="85">
        <v>26334.44748</v>
      </c>
      <c r="H7" s="85">
        <f>F7-G7</f>
        <v>10010.3316866666</v>
      </c>
    </row>
    <row r="8" s="1" customFormat="1" ht="20.1" customHeight="1" spans="1:8">
      <c r="A8" s="4">
        <v>5</v>
      </c>
      <c r="B8" s="18" t="s">
        <v>251</v>
      </c>
      <c r="C8" s="4" t="s">
        <v>248</v>
      </c>
      <c r="D8" s="15" t="s">
        <v>105</v>
      </c>
      <c r="E8" s="220">
        <v>308920.666666667</v>
      </c>
      <c r="F8" s="85">
        <f>E8*0.11</f>
        <v>33981.2733333334</v>
      </c>
      <c r="G8" s="85">
        <v>24566.195445</v>
      </c>
      <c r="H8" s="85">
        <f>F8-G8</f>
        <v>9415.07788833337</v>
      </c>
    </row>
    <row r="9" ht="22" customHeight="1" spans="2:8">
      <c r="B9" s="951" t="s">
        <v>120</v>
      </c>
      <c r="C9" s="951"/>
      <c r="D9" s="951"/>
      <c r="E9" s="951"/>
      <c r="F9" s="951"/>
      <c r="G9" s="951"/>
      <c r="H9" s="951">
        <f>SUM(H4:H8)</f>
        <v>65734.422545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"/>
  <sheetViews>
    <sheetView topLeftCell="A7" workbookViewId="0">
      <selection activeCell="P16" sqref="P16"/>
    </sheetView>
  </sheetViews>
  <sheetFormatPr defaultColWidth="8.72727272727273" defaultRowHeight="12.5"/>
  <cols>
    <col min="1" max="1" width="4.09090909090909" customWidth="1"/>
    <col min="2" max="2" width="17.5454545454545" customWidth="1"/>
    <col min="3" max="3" width="18.2727272727273" customWidth="1"/>
    <col min="5" max="5" width="14.6363636363636"/>
    <col min="7" max="7" width="12.8181818181818"/>
    <col min="8" max="8" width="11.5454545454545"/>
    <col min="9" max="9" width="12.8181818181818"/>
    <col min="10" max="10" width="14.6363636363636"/>
    <col min="12" max="13" width="12.8181818181818"/>
    <col min="14" max="14" width="11.5454545454545"/>
    <col min="15" max="17" width="12.8181818181818"/>
    <col min="18" max="18" width="14.6363636363636"/>
    <col min="19" max="19" width="12.8181818181818"/>
  </cols>
  <sheetData>
    <row r="1" s="1" customFormat="1" ht="49.5" customHeight="1" spans="1:18">
      <c r="A1" s="776"/>
      <c r="B1" s="691" t="s">
        <v>2</v>
      </c>
      <c r="C1" s="692" t="s">
        <v>3</v>
      </c>
      <c r="D1" s="693" t="s">
        <v>4</v>
      </c>
      <c r="E1" s="684" t="s">
        <v>5</v>
      </c>
      <c r="F1" s="684" t="s">
        <v>6</v>
      </c>
      <c r="G1" s="684" t="s">
        <v>7</v>
      </c>
      <c r="H1" s="684" t="s">
        <v>7</v>
      </c>
      <c r="I1" s="684" t="s">
        <v>8</v>
      </c>
      <c r="J1" s="694" t="s">
        <v>9</v>
      </c>
      <c r="K1" s="684" t="s">
        <v>10</v>
      </c>
      <c r="L1" s="684" t="s">
        <v>813</v>
      </c>
      <c r="M1" s="684" t="s">
        <v>814</v>
      </c>
      <c r="N1" s="684" t="s">
        <v>14</v>
      </c>
      <c r="O1" s="946" t="s">
        <v>15</v>
      </c>
      <c r="P1" s="684" t="s">
        <v>16</v>
      </c>
      <c r="Q1" s="695" t="s">
        <v>17</v>
      </c>
      <c r="R1" s="696" t="s">
        <v>815</v>
      </c>
    </row>
    <row r="2" s="1" customFormat="1" ht="17.25" customHeight="1" spans="1:18">
      <c r="A2" s="769"/>
      <c r="B2" s="769"/>
      <c r="C2" s="738"/>
      <c r="D2" s="738"/>
      <c r="E2" s="941" t="s">
        <v>20</v>
      </c>
      <c r="F2" s="941" t="s">
        <v>20</v>
      </c>
      <c r="G2" s="941" t="s">
        <v>20</v>
      </c>
      <c r="H2" s="941" t="s">
        <v>20</v>
      </c>
      <c r="I2" s="941" t="s">
        <v>20</v>
      </c>
      <c r="J2" s="947" t="s">
        <v>20</v>
      </c>
      <c r="K2" s="941" t="s">
        <v>20</v>
      </c>
      <c r="L2" s="941" t="s">
        <v>20</v>
      </c>
      <c r="M2" s="941" t="s">
        <v>20</v>
      </c>
      <c r="N2" s="941" t="s">
        <v>20</v>
      </c>
      <c r="O2" s="941" t="s">
        <v>20</v>
      </c>
      <c r="P2" s="941" t="s">
        <v>20</v>
      </c>
      <c r="Q2" s="949" t="s">
        <v>20</v>
      </c>
      <c r="R2" s="947" t="s">
        <v>20</v>
      </c>
    </row>
    <row r="3" s="769" customFormat="1" ht="39" customHeight="1" spans="1:18">
      <c r="A3" s="739">
        <v>1</v>
      </c>
      <c r="B3" s="775" t="s">
        <v>138</v>
      </c>
      <c r="C3" s="776" t="s">
        <v>816</v>
      </c>
      <c r="D3" s="739" t="s">
        <v>505</v>
      </c>
      <c r="E3" s="741">
        <v>1647612</v>
      </c>
      <c r="F3" s="741"/>
      <c r="G3" s="742">
        <f>200000</f>
        <v>200000</v>
      </c>
      <c r="H3" s="742"/>
      <c r="I3" s="741"/>
      <c r="J3" s="746">
        <f>SUM(E3:I3)</f>
        <v>1847612</v>
      </c>
      <c r="K3" s="741"/>
      <c r="L3" s="741"/>
      <c r="M3" s="741"/>
      <c r="N3" s="741"/>
      <c r="O3" s="741">
        <v>303177.162346667</v>
      </c>
      <c r="P3" s="741">
        <v>131808.96</v>
      </c>
      <c r="Q3" s="750">
        <f>O3+N3+M3+L3+K3+P3</f>
        <v>434986.122346667</v>
      </c>
      <c r="R3" s="746">
        <f>J3-Q3</f>
        <v>1412625.87765333</v>
      </c>
    </row>
    <row r="4" s="1" customFormat="1" ht="37" customHeight="1" spans="1:18">
      <c r="A4" s="739">
        <v>1</v>
      </c>
      <c r="B4" s="775" t="s">
        <v>138</v>
      </c>
      <c r="C4" s="776" t="s">
        <v>552</v>
      </c>
      <c r="D4" s="739" t="s">
        <v>35</v>
      </c>
      <c r="E4" s="741">
        <v>905306.75</v>
      </c>
      <c r="F4" s="741"/>
      <c r="G4" s="742">
        <f>180000</f>
        <v>180000</v>
      </c>
      <c r="H4" s="742"/>
      <c r="I4" s="741">
        <v>100000</v>
      </c>
      <c r="J4" s="746">
        <f>SUM(E4:I4)</f>
        <v>1185306.75</v>
      </c>
      <c r="K4" s="741"/>
      <c r="L4" s="741"/>
      <c r="M4" s="741"/>
      <c r="N4" s="741"/>
      <c r="O4" s="741">
        <v>192340.050986667</v>
      </c>
      <c r="P4" s="741">
        <v>72424.54</v>
      </c>
      <c r="Q4" s="750">
        <f>O4+N4+M4+L4+K4+P4</f>
        <v>264764.590986667</v>
      </c>
      <c r="R4" s="746">
        <f>J4-Q4</f>
        <v>920542.159013333</v>
      </c>
    </row>
    <row r="5" ht="24" customHeight="1" spans="1:18">
      <c r="A5" s="263"/>
      <c r="B5" s="271" t="s">
        <v>817</v>
      </c>
      <c r="C5" s="271"/>
      <c r="D5" s="271"/>
      <c r="E5" s="271"/>
      <c r="F5" s="271"/>
      <c r="G5" s="271"/>
      <c r="H5" s="271"/>
      <c r="I5" s="271"/>
      <c r="J5" s="948">
        <f>J3-J4</f>
        <v>662305.25</v>
      </c>
      <c r="K5" s="948"/>
      <c r="L5" s="948"/>
      <c r="M5" s="948"/>
      <c r="N5" s="948"/>
      <c r="O5" s="948">
        <f>O3-O4</f>
        <v>110837.11136</v>
      </c>
      <c r="P5" s="948">
        <f>P3-P4</f>
        <v>59384.42</v>
      </c>
      <c r="Q5" s="948">
        <f>Q3-Q4</f>
        <v>170221.53136</v>
      </c>
      <c r="R5" s="948">
        <f>R3-R4</f>
        <v>492083.71864</v>
      </c>
    </row>
    <row r="6" ht="18" customHeight="1" spans="1:18">
      <c r="A6" s="263"/>
      <c r="B6" s="271" t="s">
        <v>818</v>
      </c>
      <c r="C6" s="271"/>
      <c r="D6" s="271"/>
      <c r="E6" s="271"/>
      <c r="F6" s="271"/>
      <c r="G6" s="271"/>
      <c r="H6" s="271"/>
      <c r="I6" s="271"/>
      <c r="J6" s="948">
        <f>J5*3.65</f>
        <v>2417414.1625</v>
      </c>
      <c r="K6" s="271"/>
      <c r="L6" s="271"/>
      <c r="M6" s="271"/>
      <c r="N6" s="271"/>
      <c r="O6" s="948">
        <f>O5*3.65</f>
        <v>404555.456464</v>
      </c>
      <c r="P6" s="271"/>
      <c r="Q6" s="948">
        <f>O6</f>
        <v>404555.456464</v>
      </c>
      <c r="R6" s="948">
        <f>J6-Q6</f>
        <v>2012858.706036</v>
      </c>
    </row>
    <row r="7" ht="13" spans="18:18">
      <c r="R7" s="214">
        <f>SUM(R5:R6)</f>
        <v>2504942.424676</v>
      </c>
    </row>
    <row r="9" s="769" customFormat="1" ht="43" customHeight="1" spans="1:18">
      <c r="A9" s="739" t="s">
        <v>819</v>
      </c>
      <c r="B9" s="942" t="s">
        <v>820</v>
      </c>
      <c r="C9" s="943" t="s">
        <v>319</v>
      </c>
      <c r="D9" s="739" t="s">
        <v>504</v>
      </c>
      <c r="E9" s="741">
        <f>353512.5</f>
        <v>353512.5</v>
      </c>
      <c r="F9" s="741"/>
      <c r="G9" s="742"/>
      <c r="H9" s="742">
        <v>60000</v>
      </c>
      <c r="I9" s="741"/>
      <c r="J9" s="750">
        <f>E9+F9+G9+H9+I9</f>
        <v>413512.5</v>
      </c>
      <c r="K9" s="741"/>
      <c r="L9" s="741"/>
      <c r="M9" s="741"/>
      <c r="N9" s="741"/>
      <c r="O9" s="741">
        <v>52068.58</v>
      </c>
      <c r="P9" s="741">
        <v>28281</v>
      </c>
      <c r="Q9" s="750">
        <f>O9+N9+M9+L9+K9+P9</f>
        <v>80349.58</v>
      </c>
      <c r="R9" s="750">
        <f>J9-Q9</f>
        <v>333162.92</v>
      </c>
    </row>
    <row r="10" ht="28" spans="1:18">
      <c r="A10" t="s">
        <v>821</v>
      </c>
      <c r="B10" s="942" t="s">
        <v>820</v>
      </c>
      <c r="C10" s="943" t="s">
        <v>319</v>
      </c>
      <c r="D10" s="779" t="s">
        <v>504</v>
      </c>
      <c r="E10" s="742">
        <v>441159</v>
      </c>
      <c r="F10" s="741"/>
      <c r="G10" s="742"/>
      <c r="H10" s="742">
        <f>60000</f>
        <v>60000</v>
      </c>
      <c r="I10" s="741"/>
      <c r="J10" s="746">
        <f>SUM(E10:I10)</f>
        <v>501159</v>
      </c>
      <c r="K10" s="741"/>
      <c r="L10" s="741"/>
      <c r="M10" s="741"/>
      <c r="N10" s="741"/>
      <c r="O10" s="741">
        <v>68112.9924266667</v>
      </c>
      <c r="P10" s="641">
        <v>35292.72</v>
      </c>
      <c r="Q10" s="750">
        <f>O10+N10+M10+L10+K10+P10</f>
        <v>103405.712426667</v>
      </c>
      <c r="R10" s="746">
        <f>J10-Q10</f>
        <v>397753.287573333</v>
      </c>
    </row>
    <row r="11" ht="21" customHeight="1" spans="2:18">
      <c r="B11" s="942" t="s">
        <v>822</v>
      </c>
      <c r="C11" s="384"/>
      <c r="D11" s="384"/>
      <c r="E11" s="944">
        <f>E10-E9</f>
        <v>87646.5</v>
      </c>
      <c r="F11" s="944"/>
      <c r="G11" s="944"/>
      <c r="H11" s="944"/>
      <c r="I11" s="944"/>
      <c r="J11" s="944">
        <f>J10-J9</f>
        <v>87646.5</v>
      </c>
      <c r="K11" s="944"/>
      <c r="L11" s="944"/>
      <c r="M11" s="944"/>
      <c r="N11" s="944"/>
      <c r="O11" s="944">
        <f>O10-O9</f>
        <v>16044.4124266667</v>
      </c>
      <c r="P11" s="944"/>
      <c r="Q11" s="944">
        <f>Q10-Q9</f>
        <v>23056.1324266667</v>
      </c>
      <c r="R11" s="950">
        <f>R10-R9</f>
        <v>64590.3675733333</v>
      </c>
    </row>
    <row r="12" ht="29" customHeight="1" spans="2:18">
      <c r="B12" s="942" t="s">
        <v>823</v>
      </c>
      <c r="C12" s="384"/>
      <c r="D12" s="384"/>
      <c r="E12" s="944">
        <f>J12</f>
        <v>350586</v>
      </c>
      <c r="F12" s="944"/>
      <c r="G12" s="944"/>
      <c r="H12" s="944"/>
      <c r="I12" s="944"/>
      <c r="J12" s="944">
        <f>J11*4</f>
        <v>350586</v>
      </c>
      <c r="K12" s="944"/>
      <c r="L12" s="944"/>
      <c r="M12" s="944"/>
      <c r="N12" s="944"/>
      <c r="O12" s="944">
        <f>O11*4</f>
        <v>64177.6497066668</v>
      </c>
      <c r="P12" s="944"/>
      <c r="Q12" s="944">
        <f>O12</f>
        <v>64177.6497066668</v>
      </c>
      <c r="R12" s="950">
        <f>J12-Q12</f>
        <v>286408.350293333</v>
      </c>
    </row>
    <row r="13" ht="17" customHeight="1" spans="18:18">
      <c r="R13" s="411">
        <f>R10+R12</f>
        <v>684161.637866667</v>
      </c>
    </row>
    <row r="15" s="769" customFormat="1" ht="28" customHeight="1" spans="1:18">
      <c r="A15" s="945" t="s">
        <v>821</v>
      </c>
      <c r="B15" s="777" t="s">
        <v>270</v>
      </c>
      <c r="C15" s="776" t="s">
        <v>271</v>
      </c>
      <c r="D15" s="739" t="s">
        <v>344</v>
      </c>
      <c r="E15" s="741">
        <v>330407.083333333</v>
      </c>
      <c r="F15" s="741"/>
      <c r="G15" s="742"/>
      <c r="H15" s="742">
        <f>60000</f>
        <v>60000</v>
      </c>
      <c r="I15" s="741"/>
      <c r="J15" s="750">
        <f>E15+F15+G15+H15+I15</f>
        <v>390407.083333333</v>
      </c>
      <c r="K15" s="741"/>
      <c r="L15" s="741"/>
      <c r="M15" s="741"/>
      <c r="N15" s="741"/>
      <c r="O15" s="741">
        <v>48549.7738666667</v>
      </c>
      <c r="P15" s="741">
        <v>26432.5666666667</v>
      </c>
      <c r="Q15" s="750">
        <f>O15+N15+M15+L15+K15+P15</f>
        <v>74982.3405333334</v>
      </c>
      <c r="R15" s="750">
        <f>J15-Q15</f>
        <v>315424.7428</v>
      </c>
    </row>
    <row r="16" s="769" customFormat="1" ht="35" customHeight="1" spans="1:18">
      <c r="A16" s="739" t="s">
        <v>819</v>
      </c>
      <c r="B16" s="777" t="s">
        <v>270</v>
      </c>
      <c r="C16" s="776" t="s">
        <v>271</v>
      </c>
      <c r="D16" s="739" t="s">
        <v>344</v>
      </c>
      <c r="E16" s="741">
        <f>255849</f>
        <v>255849</v>
      </c>
      <c r="F16" s="741"/>
      <c r="G16" s="742"/>
      <c r="H16" s="742">
        <v>60000</v>
      </c>
      <c r="I16" s="741"/>
      <c r="J16" s="750">
        <f>E16+F16+G16+H16+I16</f>
        <v>315849</v>
      </c>
      <c r="K16" s="741"/>
      <c r="L16" s="741"/>
      <c r="M16" s="741"/>
      <c r="N16" s="741"/>
      <c r="O16" s="741">
        <v>36790.6881066667</v>
      </c>
      <c r="P16" s="741"/>
      <c r="Q16" s="750">
        <f>O16+N16+M16+L16+K16+P16</f>
        <v>36790.6881066667</v>
      </c>
      <c r="R16" s="750">
        <f>J16-Q16</f>
        <v>279058.311893333</v>
      </c>
    </row>
    <row r="17" ht="21" customHeight="1" spans="5:18">
      <c r="E17" s="411">
        <f>E15-E16</f>
        <v>74558.083333333</v>
      </c>
      <c r="F17" s="411"/>
      <c r="G17" s="411"/>
      <c r="H17" s="411"/>
      <c r="I17" s="411"/>
      <c r="J17" s="411">
        <f>J15-J16</f>
        <v>74558.083333333</v>
      </c>
      <c r="K17" s="411"/>
      <c r="L17" s="411"/>
      <c r="M17" s="411"/>
      <c r="N17" s="411"/>
      <c r="O17" s="411">
        <f>O15-O16</f>
        <v>11759.08576</v>
      </c>
      <c r="P17" s="411"/>
      <c r="Q17" s="411">
        <f>Q15-Q16</f>
        <v>38191.6524266667</v>
      </c>
      <c r="R17" s="411">
        <f>R15-R16</f>
        <v>36366.4309066663</v>
      </c>
    </row>
    <row r="18" spans="2:18">
      <c r="B18" t="s">
        <v>824</v>
      </c>
      <c r="E18" s="411">
        <f>E17*9</f>
        <v>671022.749999997</v>
      </c>
      <c r="F18" s="411"/>
      <c r="G18" s="411"/>
      <c r="H18" s="411"/>
      <c r="I18" s="411"/>
      <c r="J18" s="411">
        <f>J17*9</f>
        <v>671022.749999997</v>
      </c>
      <c r="K18" s="411"/>
      <c r="L18" s="411"/>
      <c r="M18" s="411"/>
      <c r="N18" s="411"/>
      <c r="O18" s="411">
        <f>O17*9</f>
        <v>105831.77184</v>
      </c>
      <c r="P18" s="411">
        <f>P17*9</f>
        <v>0</v>
      </c>
      <c r="Q18" s="411">
        <f>O18</f>
        <v>105831.77184</v>
      </c>
      <c r="R18" s="411">
        <f>R17*9</f>
        <v>327297.878159997</v>
      </c>
    </row>
    <row r="19" spans="18:18">
      <c r="R19" s="411">
        <f>R15+R18</f>
        <v>642722.620959997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zoomScale="90" zoomScaleNormal="90" zoomScaleSheetLayoutView="50" workbookViewId="0">
      <pane xSplit="3" ySplit="7" topLeftCell="D166" activePane="bottomRight" state="frozen"/>
      <selection/>
      <selection pane="topRight"/>
      <selection pane="bottomLeft"/>
      <selection pane="bottomRight" activeCell="G168" sqref="G168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3.6363636363636" style="1"/>
    <col min="7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5">
      <c r="A2" s="76" t="s">
        <v>825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218" t="s">
        <v>5</v>
      </c>
    </row>
    <row r="5" ht="17.25" customHeight="1" spans="3:5">
      <c r="C5" s="8"/>
      <c r="D5" s="8"/>
      <c r="E5" s="82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5">
        <v>1971137.08333333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5">
        <v>905306.75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5">
        <v>905306.75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5">
        <v>905306.75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207</v>
      </c>
      <c r="E11" s="85">
        <v>879008.916666667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49</v>
      </c>
      <c r="E12" s="85">
        <v>722595.5</v>
      </c>
    </row>
    <row r="13" customHeight="1" spans="1:5">
      <c r="A13" s="10">
        <v>7</v>
      </c>
      <c r="B13" s="11" t="s">
        <v>39</v>
      </c>
      <c r="C13" s="4" t="s">
        <v>547</v>
      </c>
      <c r="D13" s="15" t="s">
        <v>189</v>
      </c>
      <c r="E13" s="85">
        <v>589657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49</v>
      </c>
      <c r="E14" s="85">
        <v>722595.5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212</v>
      </c>
      <c r="E15" s="85">
        <v>558165.25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41</v>
      </c>
      <c r="E16" s="85">
        <v>700713.916666666</v>
      </c>
    </row>
    <row r="17" customHeight="1" spans="1:5">
      <c r="A17" s="10">
        <v>11</v>
      </c>
      <c r="B17" s="11" t="s">
        <v>50</v>
      </c>
      <c r="C17" s="12" t="s">
        <v>60</v>
      </c>
      <c r="D17" s="15" t="s">
        <v>55</v>
      </c>
      <c r="E17" s="85">
        <v>541351.333333333</v>
      </c>
    </row>
    <row r="18" customHeight="1" spans="1:5">
      <c r="A18" s="10">
        <v>12</v>
      </c>
      <c r="B18" s="18" t="s">
        <v>53</v>
      </c>
      <c r="C18" s="4" t="s">
        <v>54</v>
      </c>
      <c r="D18" s="15" t="s">
        <v>502</v>
      </c>
      <c r="E18" s="85">
        <v>526725.083333334</v>
      </c>
    </row>
    <row r="19" customHeight="1" spans="1:5">
      <c r="A19" s="10">
        <v>13</v>
      </c>
      <c r="B19" s="18" t="s">
        <v>56</v>
      </c>
      <c r="C19" s="4" t="s">
        <v>57</v>
      </c>
      <c r="D19" s="15" t="s">
        <v>503</v>
      </c>
      <c r="E19" s="676">
        <v>497472.75</v>
      </c>
    </row>
    <row r="20" customHeight="1" spans="1:5">
      <c r="A20" s="10">
        <v>14</v>
      </c>
      <c r="B20" s="18" t="s">
        <v>59</v>
      </c>
      <c r="C20" s="4" t="s">
        <v>60</v>
      </c>
      <c r="D20" s="15" t="s">
        <v>503</v>
      </c>
      <c r="E20" s="676">
        <v>497472.75</v>
      </c>
    </row>
    <row r="21" customHeight="1" spans="1:5">
      <c r="A21" s="10">
        <v>15</v>
      </c>
      <c r="B21" s="11" t="s">
        <v>61</v>
      </c>
      <c r="C21" s="12" t="s">
        <v>549</v>
      </c>
      <c r="D21" s="15" t="s">
        <v>259</v>
      </c>
      <c r="E21" s="85">
        <v>496497.166666667</v>
      </c>
    </row>
    <row r="22" ht="18.75" customHeight="1" spans="1:5">
      <c r="A22" s="10">
        <v>16</v>
      </c>
      <c r="B22" s="11" t="s">
        <v>64</v>
      </c>
      <c r="C22" s="12" t="s">
        <v>176</v>
      </c>
      <c r="D22" s="15" t="s">
        <v>170</v>
      </c>
      <c r="E22" s="85">
        <v>482662.666666667</v>
      </c>
    </row>
    <row r="23" customHeight="1" spans="1:5">
      <c r="A23" s="10">
        <v>17</v>
      </c>
      <c r="B23" s="14" t="s">
        <v>67</v>
      </c>
      <c r="C23" s="17" t="s">
        <v>68</v>
      </c>
      <c r="D23" s="10" t="s">
        <v>131</v>
      </c>
      <c r="E23" s="85">
        <v>454993.583333333</v>
      </c>
    </row>
    <row r="24" ht="21.6" customHeight="1" spans="1:5">
      <c r="A24" s="10">
        <v>18</v>
      </c>
      <c r="B24" s="11" t="s">
        <v>70</v>
      </c>
      <c r="C24" s="17" t="s">
        <v>71</v>
      </c>
      <c r="D24" s="15" t="s">
        <v>131</v>
      </c>
      <c r="E24" s="85">
        <v>454993.583333333</v>
      </c>
    </row>
    <row r="25" customHeight="1" spans="1:5">
      <c r="A25" s="10">
        <v>19</v>
      </c>
      <c r="B25" s="14" t="s">
        <v>72</v>
      </c>
      <c r="C25" s="17" t="s">
        <v>73</v>
      </c>
      <c r="D25" s="10" t="s">
        <v>80</v>
      </c>
      <c r="E25" s="85">
        <v>381140.666666666</v>
      </c>
    </row>
    <row r="26" customHeight="1" spans="1:5">
      <c r="A26" s="10">
        <v>20</v>
      </c>
      <c r="B26" s="14" t="s">
        <v>75</v>
      </c>
      <c r="C26" s="17" t="s">
        <v>76</v>
      </c>
      <c r="D26" s="10" t="s">
        <v>74</v>
      </c>
      <c r="E26" s="85">
        <v>381140.666666666</v>
      </c>
    </row>
    <row r="27" ht="18.75" customHeight="1" spans="1:5">
      <c r="A27" s="10">
        <v>21</v>
      </c>
      <c r="B27" s="4" t="s">
        <v>485</v>
      </c>
      <c r="C27" s="4" t="s">
        <v>94</v>
      </c>
      <c r="D27" s="10" t="s">
        <v>85</v>
      </c>
      <c r="E27" s="85">
        <v>355320.666666667</v>
      </c>
    </row>
    <row r="28" ht="18.75" customHeight="1" spans="1:5">
      <c r="A28" s="10">
        <v>22</v>
      </c>
      <c r="B28" s="18" t="s">
        <v>78</v>
      </c>
      <c r="C28" s="12" t="s">
        <v>94</v>
      </c>
      <c r="D28" s="15" t="s">
        <v>85</v>
      </c>
      <c r="E28" s="85">
        <v>355320.666666667</v>
      </c>
    </row>
    <row r="29" customHeight="1" spans="1:5">
      <c r="A29" s="10">
        <v>23</v>
      </c>
      <c r="B29" s="11" t="s">
        <v>81</v>
      </c>
      <c r="C29" s="17" t="s">
        <v>68</v>
      </c>
      <c r="D29" s="10" t="s">
        <v>85</v>
      </c>
      <c r="E29" s="85">
        <v>355320.666666667</v>
      </c>
    </row>
    <row r="30" ht="18.75" customHeight="1" spans="1:5">
      <c r="A30" s="10">
        <v>24</v>
      </c>
      <c r="B30" s="18" t="s">
        <v>83</v>
      </c>
      <c r="C30" s="12" t="s">
        <v>84</v>
      </c>
      <c r="D30" s="15" t="s">
        <v>88</v>
      </c>
      <c r="E30" s="85">
        <v>347016.166666666</v>
      </c>
    </row>
    <row r="31" ht="18.75" customHeight="1" spans="1:5">
      <c r="A31" s="10">
        <v>25</v>
      </c>
      <c r="B31" s="18" t="s">
        <v>86</v>
      </c>
      <c r="C31" s="4" t="s">
        <v>87</v>
      </c>
      <c r="D31" s="10" t="s">
        <v>99</v>
      </c>
      <c r="E31" s="85">
        <v>338711.666666667</v>
      </c>
    </row>
    <row r="32" ht="18.75" customHeight="1" spans="1:5">
      <c r="A32" s="10">
        <v>26</v>
      </c>
      <c r="B32" s="18" t="s">
        <v>89</v>
      </c>
      <c r="C32" s="4" t="s">
        <v>87</v>
      </c>
      <c r="D32" s="10" t="s">
        <v>99</v>
      </c>
      <c r="E32" s="85">
        <v>338711.666666667</v>
      </c>
    </row>
    <row r="33" ht="18.75" customHeight="1" spans="1:5">
      <c r="A33" s="10">
        <v>27</v>
      </c>
      <c r="B33" s="18" t="s">
        <v>91</v>
      </c>
      <c r="C33" s="17" t="s">
        <v>550</v>
      </c>
      <c r="D33" s="15" t="s">
        <v>85</v>
      </c>
      <c r="E33" s="85">
        <v>355320.666666667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99</v>
      </c>
      <c r="E34" s="85">
        <v>338711.666666667</v>
      </c>
    </row>
    <row r="35" ht="18.75" customHeight="1" spans="1:5">
      <c r="A35" s="10">
        <v>29</v>
      </c>
      <c r="B35" s="18" t="s">
        <v>95</v>
      </c>
      <c r="C35" s="4" t="s">
        <v>551</v>
      </c>
      <c r="D35" s="10" t="s">
        <v>99</v>
      </c>
      <c r="E35" s="85">
        <v>338711.666666667</v>
      </c>
    </row>
    <row r="36" s="1" customFormat="1" ht="18.75" customHeight="1" spans="1:5">
      <c r="A36" s="10">
        <v>30</v>
      </c>
      <c r="B36" s="18" t="s">
        <v>97</v>
      </c>
      <c r="C36" s="4" t="s">
        <v>98</v>
      </c>
      <c r="D36" s="10" t="s">
        <v>344</v>
      </c>
      <c r="E36" s="85">
        <v>330407.083333333</v>
      </c>
    </row>
    <row r="37" s="1" customFormat="1" ht="18.75" customHeight="1" spans="1:5">
      <c r="A37" s="10">
        <v>31</v>
      </c>
      <c r="B37" s="18" t="s">
        <v>100</v>
      </c>
      <c r="C37" s="4" t="s">
        <v>98</v>
      </c>
      <c r="D37" s="10" t="s">
        <v>344</v>
      </c>
      <c r="E37" s="85">
        <v>330408.083333333</v>
      </c>
    </row>
    <row r="38" s="1" customFormat="1" ht="18.75" customHeight="1" spans="1:5">
      <c r="A38" s="10">
        <v>32</v>
      </c>
      <c r="B38" s="18" t="s">
        <v>101</v>
      </c>
      <c r="C38" s="4" t="s">
        <v>84</v>
      </c>
      <c r="D38" s="10" t="s">
        <v>344</v>
      </c>
      <c r="E38" s="85">
        <v>330409.083333333</v>
      </c>
    </row>
    <row r="39" s="1" customFormat="1" ht="18.75" customHeight="1" spans="1:5">
      <c r="A39" s="10">
        <v>33</v>
      </c>
      <c r="B39" s="18" t="s">
        <v>102</v>
      </c>
      <c r="C39" s="4" t="s">
        <v>94</v>
      </c>
      <c r="D39" s="10" t="s">
        <v>344</v>
      </c>
      <c r="E39" s="85">
        <v>330409.083333333</v>
      </c>
    </row>
    <row r="40" ht="18.75" customHeight="1" spans="1:5">
      <c r="A40" s="10">
        <v>34</v>
      </c>
      <c r="B40" s="18" t="s">
        <v>103</v>
      </c>
      <c r="C40" s="12" t="s">
        <v>104</v>
      </c>
      <c r="D40" s="15" t="s">
        <v>108</v>
      </c>
      <c r="E40" s="85">
        <v>301910.75</v>
      </c>
    </row>
    <row r="41" ht="18.75" customHeight="1" spans="1:5">
      <c r="A41" s="10">
        <v>35</v>
      </c>
      <c r="B41" s="18" t="s">
        <v>106</v>
      </c>
      <c r="C41" s="12" t="s">
        <v>107</v>
      </c>
      <c r="D41" s="15" t="s">
        <v>111</v>
      </c>
      <c r="E41" s="676">
        <v>294900.833333334</v>
      </c>
    </row>
    <row r="42" s="1" customFormat="1" customHeight="1" spans="1:5">
      <c r="A42" s="10">
        <v>36</v>
      </c>
      <c r="B42" s="18" t="s">
        <v>109</v>
      </c>
      <c r="C42" s="12" t="s">
        <v>110</v>
      </c>
      <c r="D42" s="15" t="s">
        <v>276</v>
      </c>
      <c r="E42" s="85">
        <v>287890.916666667</v>
      </c>
    </row>
    <row r="43" s="1" customFormat="1" customHeight="1" spans="1:5">
      <c r="A43" s="10">
        <v>37</v>
      </c>
      <c r="B43" s="18" t="s">
        <v>118</v>
      </c>
      <c r="C43" s="12" t="s">
        <v>119</v>
      </c>
      <c r="D43" s="15" t="s">
        <v>276</v>
      </c>
      <c r="E43" s="85">
        <v>287891.916666667</v>
      </c>
    </row>
    <row r="44" ht="26.25" customHeight="1" spans="1:5">
      <c r="A44" s="10"/>
      <c r="B44" s="20" t="s">
        <v>120</v>
      </c>
      <c r="C44" s="21">
        <v>37</v>
      </c>
      <c r="D44" s="15"/>
      <c r="E44" s="221">
        <f>SUM(E7:E43)</f>
        <v>19191616.9166667</v>
      </c>
    </row>
    <row r="45" ht="18.75" customHeight="1" spans="1:5">
      <c r="A45" s="10"/>
      <c r="B45" s="22"/>
      <c r="C45" s="4"/>
      <c r="D45" s="15"/>
      <c r="E45" s="221"/>
    </row>
    <row r="46" ht="18.75" customHeight="1" spans="1:5">
      <c r="A46" s="10"/>
      <c r="B46" s="20" t="s">
        <v>121</v>
      </c>
      <c r="C46" s="4"/>
      <c r="D46" s="15"/>
      <c r="E46" s="85"/>
    </row>
    <row r="47" ht="18.75" customHeight="1" spans="1:5">
      <c r="A47" s="10">
        <v>1</v>
      </c>
      <c r="B47" s="18" t="s">
        <v>122</v>
      </c>
      <c r="C47" s="4" t="s">
        <v>123</v>
      </c>
      <c r="D47" s="10" t="s">
        <v>124</v>
      </c>
      <c r="E47" s="85">
        <v>1747106.41666666</v>
      </c>
    </row>
    <row r="48" ht="18.75" customHeight="1" spans="1:5">
      <c r="A48" s="10">
        <v>2</v>
      </c>
      <c r="B48" s="18" t="s">
        <v>127</v>
      </c>
      <c r="C48" s="4" t="s">
        <v>128</v>
      </c>
      <c r="D48" s="10" t="s">
        <v>74</v>
      </c>
      <c r="E48" s="85">
        <v>381140.666666666</v>
      </c>
    </row>
    <row r="49" ht="18.75" customHeight="1" spans="1:5">
      <c r="A49" s="10">
        <v>3</v>
      </c>
      <c r="B49" s="11" t="s">
        <v>129</v>
      </c>
      <c r="C49" s="4" t="s">
        <v>128</v>
      </c>
      <c r="D49" s="15" t="s">
        <v>77</v>
      </c>
      <c r="E49" s="85">
        <v>390135.833333334</v>
      </c>
    </row>
    <row r="50" s="1" customFormat="1" customHeight="1" spans="1:5">
      <c r="A50" s="10">
        <v>4</v>
      </c>
      <c r="B50" s="18" t="s">
        <v>132</v>
      </c>
      <c r="C50" s="4" t="s">
        <v>128</v>
      </c>
      <c r="D50" s="15" t="s">
        <v>80</v>
      </c>
      <c r="E50" s="85">
        <v>372145.333333333</v>
      </c>
    </row>
    <row r="51" ht="18.75" customHeight="1" spans="1:5">
      <c r="A51" s="10">
        <v>5</v>
      </c>
      <c r="B51" s="11" t="s">
        <v>133</v>
      </c>
      <c r="C51" s="4" t="s">
        <v>134</v>
      </c>
      <c r="D51" s="15" t="s">
        <v>99</v>
      </c>
      <c r="E51" s="676">
        <v>338711.666666667</v>
      </c>
    </row>
    <row r="52" s="1" customFormat="1" customHeight="1" spans="1:5">
      <c r="A52" s="10">
        <v>6</v>
      </c>
      <c r="B52" s="18" t="s">
        <v>135</v>
      </c>
      <c r="C52" s="12" t="s">
        <v>136</v>
      </c>
      <c r="D52" s="15" t="s">
        <v>276</v>
      </c>
      <c r="E52" s="85">
        <v>287890.916666667</v>
      </c>
    </row>
    <row r="53" ht="19.5" customHeight="1" spans="1:5">
      <c r="A53" s="10"/>
      <c r="B53" s="14"/>
      <c r="C53" s="21">
        <v>6</v>
      </c>
      <c r="D53" s="10"/>
      <c r="E53" s="221">
        <f>SUM(E47:E52)</f>
        <v>3517130.83333333</v>
      </c>
    </row>
    <row r="54" customHeight="1" spans="1:5">
      <c r="A54" s="10"/>
      <c r="B54" s="14"/>
      <c r="C54" s="4"/>
      <c r="D54" s="10"/>
      <c r="E54" s="221"/>
    </row>
    <row r="55" customHeight="1" spans="1:5">
      <c r="A55" s="10"/>
      <c r="B55" s="23" t="s">
        <v>137</v>
      </c>
      <c r="C55" s="5"/>
      <c r="D55" s="24"/>
      <c r="E55" s="221"/>
    </row>
    <row r="56" customHeight="1" spans="1:5">
      <c r="A56" s="10">
        <v>1</v>
      </c>
      <c r="B56" s="11" t="s">
        <v>138</v>
      </c>
      <c r="C56" s="4" t="s">
        <v>552</v>
      </c>
      <c r="D56" s="10" t="s">
        <v>505</v>
      </c>
      <c r="E56" s="85">
        <v>1647612</v>
      </c>
    </row>
    <row r="57" customHeight="1" spans="1:5">
      <c r="A57" s="10">
        <v>2</v>
      </c>
      <c r="B57" s="11" t="s">
        <v>141</v>
      </c>
      <c r="C57" s="4" t="s">
        <v>142</v>
      </c>
      <c r="D57" s="10" t="s">
        <v>38</v>
      </c>
      <c r="E57" s="85">
        <v>744477</v>
      </c>
    </row>
    <row r="58" customHeight="1" spans="1:5">
      <c r="A58" s="10">
        <v>3</v>
      </c>
      <c r="B58" s="11" t="s">
        <v>143</v>
      </c>
      <c r="C58" s="4" t="s">
        <v>142</v>
      </c>
      <c r="D58" s="10" t="s">
        <v>38</v>
      </c>
      <c r="E58" s="85">
        <v>744477</v>
      </c>
    </row>
    <row r="59" customHeight="1" spans="1:5">
      <c r="A59" s="10">
        <v>4</v>
      </c>
      <c r="B59" s="11" t="s">
        <v>144</v>
      </c>
      <c r="C59" s="4" t="s">
        <v>142</v>
      </c>
      <c r="D59" s="10" t="s">
        <v>49</v>
      </c>
      <c r="E59" s="85">
        <v>722595.5</v>
      </c>
    </row>
    <row r="60" customHeight="1" spans="1:5">
      <c r="A60" s="10">
        <v>5</v>
      </c>
      <c r="B60" s="14" t="s">
        <v>145</v>
      </c>
      <c r="C60" s="4" t="s">
        <v>142</v>
      </c>
      <c r="D60" s="10" t="s">
        <v>41</v>
      </c>
      <c r="E60" s="85">
        <v>700713.916666666</v>
      </c>
    </row>
    <row r="61" s="1" customFormat="1" customHeight="1" spans="1:5">
      <c r="A61" s="10">
        <v>6</v>
      </c>
      <c r="B61" s="18" t="s">
        <v>147</v>
      </c>
      <c r="C61" s="4" t="s">
        <v>148</v>
      </c>
      <c r="D61" s="15" t="s">
        <v>504</v>
      </c>
      <c r="E61" s="220">
        <v>441159</v>
      </c>
    </row>
    <row r="62" customHeight="1" spans="1:5">
      <c r="A62" s="10">
        <v>7</v>
      </c>
      <c r="B62" s="11" t="s">
        <v>149</v>
      </c>
      <c r="C62" s="4" t="s">
        <v>150</v>
      </c>
      <c r="D62" s="10" t="s">
        <v>77</v>
      </c>
      <c r="E62" s="85">
        <v>390135.833333334</v>
      </c>
    </row>
    <row r="63" s="1" customFormat="1" customHeight="1" spans="1:5">
      <c r="A63" s="10">
        <v>8</v>
      </c>
      <c r="B63" s="11" t="s">
        <v>152</v>
      </c>
      <c r="C63" s="4" t="s">
        <v>82</v>
      </c>
      <c r="D63" s="10" t="s">
        <v>80</v>
      </c>
      <c r="E63" s="85">
        <v>372145.333333333</v>
      </c>
    </row>
    <row r="64" customHeight="1" spans="1:5">
      <c r="A64" s="10">
        <v>9</v>
      </c>
      <c r="B64" s="11" t="s">
        <v>153</v>
      </c>
      <c r="C64" s="4" t="s">
        <v>150</v>
      </c>
      <c r="D64" s="10" t="s">
        <v>88</v>
      </c>
      <c r="E64" s="85">
        <v>347016.166666666</v>
      </c>
    </row>
    <row r="65" customHeight="1" spans="1:5">
      <c r="A65" s="10">
        <v>10</v>
      </c>
      <c r="B65" s="11" t="s">
        <v>154</v>
      </c>
      <c r="C65" s="4" t="s">
        <v>150</v>
      </c>
      <c r="D65" s="10" t="s">
        <v>88</v>
      </c>
      <c r="E65" s="85">
        <v>347016.166666666</v>
      </c>
    </row>
    <row r="66" s="1" customFormat="1" ht="18.75" customHeight="1" spans="1:5">
      <c r="A66" s="10">
        <v>11</v>
      </c>
      <c r="B66" s="18" t="s">
        <v>155</v>
      </c>
      <c r="C66" s="4" t="s">
        <v>150</v>
      </c>
      <c r="D66" s="10" t="s">
        <v>344</v>
      </c>
      <c r="E66" s="85">
        <v>330407.083333333</v>
      </c>
    </row>
    <row r="67" ht="25.5" customHeight="1" spans="1:5">
      <c r="A67" s="10"/>
      <c r="B67" s="20" t="s">
        <v>120</v>
      </c>
      <c r="C67" s="21">
        <v>11</v>
      </c>
      <c r="D67" s="21"/>
      <c r="E67" s="93">
        <f>SUM(E56:E66)</f>
        <v>6787755</v>
      </c>
    </row>
    <row r="68" customHeight="1" spans="1:5">
      <c r="A68" s="10"/>
      <c r="B68" s="22"/>
      <c r="C68" s="21"/>
      <c r="D68" s="21"/>
      <c r="E68" s="146"/>
    </row>
    <row r="69" customHeight="1" spans="1:5">
      <c r="A69" s="10"/>
      <c r="B69" s="20" t="s">
        <v>156</v>
      </c>
      <c r="C69" s="21"/>
      <c r="D69" s="21"/>
      <c r="E69" s="146"/>
    </row>
    <row r="70" customHeight="1" spans="1:5">
      <c r="A70" s="10">
        <v>1</v>
      </c>
      <c r="B70" s="11" t="s">
        <v>157</v>
      </c>
      <c r="C70" s="12" t="s">
        <v>158</v>
      </c>
      <c r="D70" s="15" t="s">
        <v>124</v>
      </c>
      <c r="E70" s="85">
        <v>1747106.41666666</v>
      </c>
    </row>
    <row r="71" customHeight="1" spans="1:5">
      <c r="A71" s="10">
        <v>2</v>
      </c>
      <c r="B71" s="11" t="s">
        <v>159</v>
      </c>
      <c r="C71" s="12" t="s">
        <v>160</v>
      </c>
      <c r="D71" s="15" t="s">
        <v>161</v>
      </c>
      <c r="E71" s="85">
        <v>744477</v>
      </c>
    </row>
    <row r="72" customHeight="1" spans="1:5">
      <c r="A72" s="10"/>
      <c r="B72" s="20" t="s">
        <v>120</v>
      </c>
      <c r="C72" s="21">
        <v>2</v>
      </c>
      <c r="D72" s="21"/>
      <c r="E72" s="93">
        <f>SUM(E70:E71)</f>
        <v>2491583.41666666</v>
      </c>
    </row>
    <row r="73" customHeight="1" spans="1:5">
      <c r="A73" s="10"/>
      <c r="B73" s="20"/>
      <c r="C73" s="21"/>
      <c r="D73" s="21"/>
      <c r="E73" s="146"/>
    </row>
    <row r="74" customHeight="1" spans="1:5">
      <c r="A74" s="10"/>
      <c r="B74" s="20" t="s">
        <v>162</v>
      </c>
      <c r="C74" s="21"/>
      <c r="D74" s="21"/>
      <c r="E74" s="146"/>
    </row>
    <row r="75" customHeight="1" spans="1:5">
      <c r="A75" s="10">
        <v>1</v>
      </c>
      <c r="B75" s="14" t="s">
        <v>163</v>
      </c>
      <c r="C75" s="4" t="s">
        <v>164</v>
      </c>
      <c r="D75" s="10" t="s">
        <v>35</v>
      </c>
      <c r="E75" s="85">
        <v>905306.75</v>
      </c>
    </row>
    <row r="76" customHeight="1" spans="1:5">
      <c r="A76" s="10">
        <v>2</v>
      </c>
      <c r="B76" s="11" t="s">
        <v>165</v>
      </c>
      <c r="C76" s="4" t="s">
        <v>51</v>
      </c>
      <c r="D76" s="10" t="s">
        <v>212</v>
      </c>
      <c r="E76" s="85">
        <v>558165.25</v>
      </c>
    </row>
    <row r="77" s="1" customFormat="1" customHeight="1" spans="1:5">
      <c r="A77" s="10">
        <v>3</v>
      </c>
      <c r="B77" s="18" t="s">
        <v>166</v>
      </c>
      <c r="C77" s="17" t="s">
        <v>167</v>
      </c>
      <c r="D77" s="15" t="s">
        <v>66</v>
      </c>
      <c r="E77" s="85">
        <v>482846.583333333</v>
      </c>
    </row>
    <row r="78" s="1" customFormat="1" customHeight="1" spans="1:5">
      <c r="A78" s="10">
        <v>4</v>
      </c>
      <c r="B78" s="18" t="s">
        <v>168</v>
      </c>
      <c r="C78" s="17" t="s">
        <v>167</v>
      </c>
      <c r="D78" s="15" t="s">
        <v>66</v>
      </c>
      <c r="E78" s="85">
        <v>482846.583333333</v>
      </c>
    </row>
    <row r="79" customHeight="1" spans="1:5">
      <c r="A79" s="10">
        <v>5</v>
      </c>
      <c r="B79" s="11" t="s">
        <v>169</v>
      </c>
      <c r="C79" s="4" t="s">
        <v>150</v>
      </c>
      <c r="D79" s="10" t="s">
        <v>69</v>
      </c>
      <c r="E79" s="85">
        <v>468828.166666667</v>
      </c>
    </row>
    <row r="80" customHeight="1" spans="1:5">
      <c r="A80" s="10">
        <v>6</v>
      </c>
      <c r="B80" s="11" t="s">
        <v>171</v>
      </c>
      <c r="C80" s="17" t="s">
        <v>71</v>
      </c>
      <c r="D80" s="10" t="s">
        <v>69</v>
      </c>
      <c r="E80" s="85">
        <v>468828.166666667</v>
      </c>
    </row>
    <row r="81" customHeight="1" spans="1:5">
      <c r="A81" s="10">
        <v>7</v>
      </c>
      <c r="B81" s="11" t="s">
        <v>172</v>
      </c>
      <c r="C81" s="17" t="s">
        <v>71</v>
      </c>
      <c r="D81" s="10" t="s">
        <v>69</v>
      </c>
      <c r="E81" s="85">
        <v>468828.166666667</v>
      </c>
    </row>
    <row r="82" customHeight="1" spans="1:5">
      <c r="A82" s="10">
        <v>8</v>
      </c>
      <c r="B82" s="11" t="s">
        <v>173</v>
      </c>
      <c r="C82" s="4" t="s">
        <v>553</v>
      </c>
      <c r="D82" s="10" t="s">
        <v>170</v>
      </c>
      <c r="E82" s="457">
        <v>482662.666666667</v>
      </c>
    </row>
    <row r="83" s="1" customFormat="1" customHeight="1" spans="1:5">
      <c r="A83" s="10">
        <v>9</v>
      </c>
      <c r="B83" s="14" t="s">
        <v>175</v>
      </c>
      <c r="C83" s="17" t="s">
        <v>176</v>
      </c>
      <c r="D83" s="10" t="s">
        <v>504</v>
      </c>
      <c r="E83" s="85">
        <v>441159</v>
      </c>
    </row>
    <row r="84" ht="21.6" customHeight="1" spans="1:5">
      <c r="A84" s="10">
        <v>10</v>
      </c>
      <c r="B84" s="11" t="s">
        <v>177</v>
      </c>
      <c r="C84" s="4" t="s">
        <v>150</v>
      </c>
      <c r="D84" s="10" t="s">
        <v>77</v>
      </c>
      <c r="E84" s="220">
        <v>390135.833333334</v>
      </c>
    </row>
    <row r="85" ht="27" customHeight="1" spans="1:5">
      <c r="A85" s="10"/>
      <c r="B85" s="20" t="s">
        <v>120</v>
      </c>
      <c r="C85" s="21">
        <v>10</v>
      </c>
      <c r="D85" s="21"/>
      <c r="E85" s="93">
        <f>SUM(E75:E84)</f>
        <v>5149607.16666667</v>
      </c>
    </row>
    <row r="86" customHeight="1" spans="1:5">
      <c r="A86" s="10"/>
      <c r="B86" s="22"/>
      <c r="C86" s="21"/>
      <c r="D86" s="21"/>
      <c r="E86" s="146"/>
    </row>
    <row r="87" customHeight="1" spans="1:5">
      <c r="A87" s="10"/>
      <c r="B87" s="20" t="s">
        <v>180</v>
      </c>
      <c r="C87" s="21"/>
      <c r="D87" s="21"/>
      <c r="E87" s="146"/>
    </row>
    <row r="88" customHeight="1" spans="1:5">
      <c r="A88" s="10">
        <v>1</v>
      </c>
      <c r="B88" s="11" t="s">
        <v>181</v>
      </c>
      <c r="C88" s="4" t="s">
        <v>182</v>
      </c>
      <c r="D88" s="10" t="s">
        <v>124</v>
      </c>
      <c r="E88" s="85">
        <v>1747106.41666666</v>
      </c>
    </row>
    <row r="89" customHeight="1" spans="1:5">
      <c r="A89" s="10">
        <v>2</v>
      </c>
      <c r="B89" s="11" t="s">
        <v>185</v>
      </c>
      <c r="C89" s="4" t="s">
        <v>186</v>
      </c>
      <c r="D89" s="10" t="s">
        <v>41</v>
      </c>
      <c r="E89" s="85">
        <v>722595.5</v>
      </c>
    </row>
    <row r="90" customHeight="1" spans="1:5">
      <c r="A90" s="10">
        <v>3</v>
      </c>
      <c r="B90" s="11" t="s">
        <v>187</v>
      </c>
      <c r="C90" s="4" t="s">
        <v>188</v>
      </c>
      <c r="D90" s="15" t="s">
        <v>46</v>
      </c>
      <c r="E90" s="85">
        <v>573911.083333334</v>
      </c>
    </row>
    <row r="91" customHeight="1" spans="1:5">
      <c r="A91" s="10">
        <v>3</v>
      </c>
      <c r="B91" s="11" t="s">
        <v>190</v>
      </c>
      <c r="C91" s="12" t="s">
        <v>191</v>
      </c>
      <c r="D91" s="15" t="s">
        <v>66</v>
      </c>
      <c r="E91" s="85">
        <v>482846.583333334</v>
      </c>
    </row>
    <row r="92" s="1" customFormat="1" customHeight="1" spans="1:5">
      <c r="A92" s="10">
        <v>4</v>
      </c>
      <c r="B92" s="11" t="s">
        <v>192</v>
      </c>
      <c r="C92" s="4" t="s">
        <v>193</v>
      </c>
      <c r="D92" s="15" t="s">
        <v>66</v>
      </c>
      <c r="E92" s="85">
        <v>482846.583333333</v>
      </c>
    </row>
    <row r="93" customHeight="1" spans="1:5">
      <c r="A93" s="10">
        <v>5</v>
      </c>
      <c r="B93" s="11" t="s">
        <v>194</v>
      </c>
      <c r="C93" s="4" t="s">
        <v>195</v>
      </c>
      <c r="D93" s="10" t="s">
        <v>131</v>
      </c>
      <c r="E93" s="85">
        <v>454993.583333333</v>
      </c>
    </row>
    <row r="94" customHeight="1" spans="1:5">
      <c r="A94" s="10">
        <v>6</v>
      </c>
      <c r="B94" s="11" t="s">
        <v>198</v>
      </c>
      <c r="C94" s="4" t="s">
        <v>179</v>
      </c>
      <c r="D94" s="10" t="s">
        <v>99</v>
      </c>
      <c r="E94" s="85">
        <v>347016.166666666</v>
      </c>
    </row>
    <row r="95" customHeight="1" spans="1:5">
      <c r="A95" s="10">
        <v>7</v>
      </c>
      <c r="B95" s="11" t="s">
        <v>200</v>
      </c>
      <c r="C95" s="4" t="s">
        <v>201</v>
      </c>
      <c r="D95" s="10" t="s">
        <v>108</v>
      </c>
      <c r="E95" s="85">
        <v>301910.75</v>
      </c>
    </row>
    <row r="96" customHeight="1" spans="1:5">
      <c r="A96" s="10"/>
      <c r="B96" s="20" t="s">
        <v>120</v>
      </c>
      <c r="C96" s="21">
        <v>7</v>
      </c>
      <c r="D96" s="21"/>
      <c r="E96" s="93">
        <f>SUM(E88:E95)</f>
        <v>5113226.66666666</v>
      </c>
    </row>
    <row r="97" customHeight="1" spans="1:5">
      <c r="A97" s="10"/>
      <c r="B97" s="20"/>
      <c r="C97" s="21"/>
      <c r="D97" s="21"/>
      <c r="E97" s="146"/>
    </row>
    <row r="98" customHeight="1" spans="1:5">
      <c r="A98" s="10"/>
      <c r="B98" s="20" t="s">
        <v>202</v>
      </c>
      <c r="C98" s="25"/>
      <c r="D98" s="21"/>
      <c r="E98" s="146"/>
    </row>
    <row r="99" customHeight="1" spans="1:5">
      <c r="A99" s="10">
        <v>1</v>
      </c>
      <c r="B99" s="11" t="s">
        <v>203</v>
      </c>
      <c r="C99" s="4" t="s">
        <v>204</v>
      </c>
      <c r="D99" s="10" t="s">
        <v>505</v>
      </c>
      <c r="E99" s="85">
        <v>1647612</v>
      </c>
    </row>
    <row r="100" customHeight="1" spans="1:5">
      <c r="A100" s="10">
        <v>2</v>
      </c>
      <c r="B100" s="11" t="s">
        <v>205</v>
      </c>
      <c r="C100" s="4" t="s">
        <v>206</v>
      </c>
      <c r="D100" s="10" t="s">
        <v>506</v>
      </c>
      <c r="E100" s="85">
        <v>852711.083333333</v>
      </c>
    </row>
    <row r="101" customHeight="1" spans="1:5">
      <c r="A101" s="10">
        <v>3</v>
      </c>
      <c r="B101" s="11" t="s">
        <v>208</v>
      </c>
      <c r="C101" s="4" t="s">
        <v>142</v>
      </c>
      <c r="D101" s="10" t="s">
        <v>49</v>
      </c>
      <c r="E101" s="85">
        <v>722595.5</v>
      </c>
    </row>
    <row r="102" ht="21.6" customHeight="1" spans="1:5">
      <c r="A102" s="10">
        <v>4</v>
      </c>
      <c r="B102" s="11" t="s">
        <v>209</v>
      </c>
      <c r="C102" s="4" t="s">
        <v>51</v>
      </c>
      <c r="D102" s="15" t="s">
        <v>212</v>
      </c>
      <c r="E102" s="85">
        <v>558165.25</v>
      </c>
    </row>
    <row r="103" ht="21.6" customHeight="1" spans="1:5">
      <c r="A103" s="10">
        <v>5</v>
      </c>
      <c r="B103" s="11" t="s">
        <v>210</v>
      </c>
      <c r="C103" s="4" t="s">
        <v>51</v>
      </c>
      <c r="D103" s="15" t="s">
        <v>212</v>
      </c>
      <c r="E103" s="85">
        <v>558166.25</v>
      </c>
    </row>
    <row r="104" ht="21.6" customHeight="1" spans="1:5">
      <c r="A104" s="10">
        <v>6</v>
      </c>
      <c r="B104" s="11" t="s">
        <v>211</v>
      </c>
      <c r="C104" s="12" t="s">
        <v>51</v>
      </c>
      <c r="D104" s="15" t="s">
        <v>52</v>
      </c>
      <c r="E104" s="85">
        <v>542419.5</v>
      </c>
    </row>
    <row r="105" ht="21.6" customHeight="1" spans="1:5">
      <c r="A105" s="10">
        <v>7</v>
      </c>
      <c r="B105" s="11" t="s">
        <v>213</v>
      </c>
      <c r="C105" s="17" t="s">
        <v>71</v>
      </c>
      <c r="D105" s="15" t="s">
        <v>69</v>
      </c>
      <c r="E105" s="85">
        <v>468828.166666667</v>
      </c>
    </row>
    <row r="106" ht="21.6" customHeight="1" spans="1:5">
      <c r="A106" s="10">
        <v>8</v>
      </c>
      <c r="B106" s="11" t="s">
        <v>214</v>
      </c>
      <c r="C106" s="17" t="s">
        <v>167</v>
      </c>
      <c r="D106" s="15" t="s">
        <v>63</v>
      </c>
      <c r="E106" s="85">
        <v>497472.75</v>
      </c>
    </row>
    <row r="107" s="1" customFormat="1" customHeight="1" spans="1:5">
      <c r="A107" s="10">
        <v>9</v>
      </c>
      <c r="B107" s="18" t="s">
        <v>216</v>
      </c>
      <c r="C107" s="4" t="s">
        <v>148</v>
      </c>
      <c r="D107" s="15" t="s">
        <v>504</v>
      </c>
      <c r="E107" s="220">
        <v>441159</v>
      </c>
    </row>
    <row r="108" ht="21.6" customHeight="1" spans="1:5">
      <c r="A108" s="10">
        <v>10</v>
      </c>
      <c r="B108" s="11" t="s">
        <v>217</v>
      </c>
      <c r="C108" s="4" t="s">
        <v>218</v>
      </c>
      <c r="D108" s="10" t="s">
        <v>77</v>
      </c>
      <c r="E108" s="220">
        <v>390135.833333334</v>
      </c>
    </row>
    <row r="109" ht="21.6" customHeight="1" spans="1:5">
      <c r="A109" s="10">
        <v>11</v>
      </c>
      <c r="B109" s="11" t="s">
        <v>221</v>
      </c>
      <c r="C109" s="17" t="s">
        <v>222</v>
      </c>
      <c r="D109" s="15" t="s">
        <v>105</v>
      </c>
      <c r="E109" s="220">
        <v>308920.666666667</v>
      </c>
    </row>
    <row r="110" customHeight="1" spans="1:5">
      <c r="A110" s="10"/>
      <c r="B110" s="20" t="s">
        <v>120</v>
      </c>
      <c r="C110" s="21">
        <v>11</v>
      </c>
      <c r="D110" s="21"/>
      <c r="E110" s="93">
        <f>SUM(E99:E109)</f>
        <v>6988186</v>
      </c>
    </row>
    <row r="111" customHeight="1" spans="1:5">
      <c r="A111" s="10"/>
      <c r="B111" s="22"/>
      <c r="C111" s="21"/>
      <c r="D111" s="21"/>
      <c r="E111" s="146"/>
    </row>
    <row r="112" customHeight="1" spans="1:5">
      <c r="A112" s="10"/>
      <c r="B112" s="20" t="s">
        <v>224</v>
      </c>
      <c r="C112" s="21"/>
      <c r="D112" s="21"/>
      <c r="E112" s="146"/>
    </row>
    <row r="113" customHeight="1" spans="1:5">
      <c r="A113" s="10">
        <v>1</v>
      </c>
      <c r="B113" s="14" t="s">
        <v>225</v>
      </c>
      <c r="C113" s="4" t="s">
        <v>554</v>
      </c>
      <c r="D113" s="16" t="s">
        <v>140</v>
      </c>
      <c r="E113" s="85">
        <v>1697359.33333333</v>
      </c>
    </row>
    <row r="114" customHeight="1" spans="1:5">
      <c r="A114" s="10">
        <v>2</v>
      </c>
      <c r="B114" s="11" t="s">
        <v>227</v>
      </c>
      <c r="C114" s="4" t="s">
        <v>228</v>
      </c>
      <c r="D114" s="15" t="s">
        <v>46</v>
      </c>
      <c r="E114" s="85">
        <v>573911.083333334</v>
      </c>
    </row>
    <row r="115" customHeight="1" spans="1:5">
      <c r="A115" s="10">
        <v>3</v>
      </c>
      <c r="B115" s="11" t="s">
        <v>229</v>
      </c>
      <c r="C115" s="12" t="s">
        <v>230</v>
      </c>
      <c r="D115" s="15" t="s">
        <v>63</v>
      </c>
      <c r="E115" s="85">
        <v>497472.75</v>
      </c>
    </row>
    <row r="116" s="1" customFormat="1" customHeight="1" spans="1:5">
      <c r="A116" s="10">
        <v>4</v>
      </c>
      <c r="B116" s="11" t="s">
        <v>231</v>
      </c>
      <c r="C116" s="4" t="s">
        <v>232</v>
      </c>
      <c r="D116" s="15" t="s">
        <v>66</v>
      </c>
      <c r="E116" s="62">
        <v>482846.583333333</v>
      </c>
    </row>
    <row r="117" customHeight="1" spans="1:5">
      <c r="A117" s="10">
        <v>5</v>
      </c>
      <c r="B117" s="11" t="s">
        <v>233</v>
      </c>
      <c r="C117" s="4" t="s">
        <v>555</v>
      </c>
      <c r="D117" s="15" t="s">
        <v>170</v>
      </c>
      <c r="E117" s="85">
        <v>482662.666666667</v>
      </c>
    </row>
    <row r="118" customHeight="1" spans="1:5">
      <c r="A118" s="10">
        <v>6</v>
      </c>
      <c r="B118" s="11" t="s">
        <v>234</v>
      </c>
      <c r="C118" s="4" t="s">
        <v>197</v>
      </c>
      <c r="D118" s="15" t="s">
        <v>77</v>
      </c>
      <c r="E118" s="220">
        <v>390135.833333334</v>
      </c>
    </row>
    <row r="119" customHeight="1" spans="1:5">
      <c r="A119" s="4"/>
      <c r="B119" s="20" t="s">
        <v>120</v>
      </c>
      <c r="C119" s="21">
        <v>6</v>
      </c>
      <c r="D119" s="26"/>
      <c r="E119" s="93">
        <f>SUM(E113:E118)</f>
        <v>4124388.25</v>
      </c>
    </row>
    <row r="120" customHeight="1" spans="1:5">
      <c r="A120" s="4"/>
      <c r="B120" s="22"/>
      <c r="C120" s="21"/>
      <c r="D120" s="26"/>
      <c r="E120" s="146"/>
    </row>
    <row r="121" customHeight="1" spans="1:5">
      <c r="A121" s="4"/>
      <c r="B121" s="20" t="s">
        <v>237</v>
      </c>
      <c r="C121" s="4"/>
      <c r="D121" s="4"/>
      <c r="E121" s="4"/>
    </row>
    <row r="122" customHeight="1" spans="1:5">
      <c r="A122" s="4">
        <v>1</v>
      </c>
      <c r="B122" s="11" t="s">
        <v>556</v>
      </c>
      <c r="C122" s="12" t="s">
        <v>239</v>
      </c>
      <c r="D122" s="15" t="s">
        <v>124</v>
      </c>
      <c r="E122" s="85">
        <v>1747106.41666666</v>
      </c>
    </row>
    <row r="123" customHeight="1" spans="1:5">
      <c r="A123" s="4">
        <v>2</v>
      </c>
      <c r="B123" s="11" t="s">
        <v>240</v>
      </c>
      <c r="C123" s="4" t="s">
        <v>241</v>
      </c>
      <c r="D123" s="16" t="s">
        <v>35</v>
      </c>
      <c r="E123" s="85">
        <v>905306.75</v>
      </c>
    </row>
    <row r="124" customHeight="1" spans="1:5">
      <c r="A124" s="4">
        <v>3</v>
      </c>
      <c r="B124" s="11" t="s">
        <v>242</v>
      </c>
      <c r="C124" s="4" t="s">
        <v>557</v>
      </c>
      <c r="D124" s="10" t="s">
        <v>55</v>
      </c>
      <c r="E124" s="85">
        <v>541351.333333333</v>
      </c>
    </row>
    <row r="125" customHeight="1" spans="1:5">
      <c r="A125" s="4">
        <v>4</v>
      </c>
      <c r="B125" s="11" t="s">
        <v>244</v>
      </c>
      <c r="C125" s="4" t="s">
        <v>557</v>
      </c>
      <c r="D125" s="10" t="s">
        <v>501</v>
      </c>
      <c r="E125" s="85">
        <v>542419.5</v>
      </c>
    </row>
    <row r="126" customHeight="1" spans="1:5">
      <c r="A126" s="4">
        <v>5</v>
      </c>
      <c r="B126" s="11" t="s">
        <v>247</v>
      </c>
      <c r="C126" s="4" t="s">
        <v>248</v>
      </c>
      <c r="D126" s="15" t="s">
        <v>507</v>
      </c>
      <c r="E126" s="220">
        <v>329950.416666667</v>
      </c>
    </row>
    <row r="127" customHeight="1" spans="1:5">
      <c r="A127" s="4">
        <v>6</v>
      </c>
      <c r="B127" s="18" t="s">
        <v>250</v>
      </c>
      <c r="C127" s="4" t="s">
        <v>248</v>
      </c>
      <c r="D127" s="10" t="s">
        <v>344</v>
      </c>
      <c r="E127" s="220">
        <v>330407.083333333</v>
      </c>
    </row>
    <row r="128" customHeight="1" spans="1:5">
      <c r="A128" s="4">
        <v>7</v>
      </c>
      <c r="B128" s="18" t="s">
        <v>251</v>
      </c>
      <c r="C128" s="4" t="s">
        <v>248</v>
      </c>
      <c r="D128" s="15" t="s">
        <v>105</v>
      </c>
      <c r="E128" s="220">
        <v>308920.666666667</v>
      </c>
    </row>
    <row r="129" ht="25.5" customHeight="1" spans="1:5">
      <c r="A129" s="4"/>
      <c r="B129" s="20" t="s">
        <v>120</v>
      </c>
      <c r="C129" s="21">
        <v>7</v>
      </c>
      <c r="D129" s="4"/>
      <c r="E129" s="223">
        <f>SUM(E122:E128)</f>
        <v>4705462.16666666</v>
      </c>
    </row>
    <row r="130" customHeight="1" spans="1:5">
      <c r="A130" s="4"/>
      <c r="B130" s="20"/>
      <c r="C130" s="21"/>
      <c r="D130" s="4"/>
      <c r="E130" s="223"/>
    </row>
    <row r="131" customHeight="1" spans="1:5">
      <c r="A131" s="10"/>
      <c r="B131" s="20" t="s">
        <v>255</v>
      </c>
      <c r="C131" s="21"/>
      <c r="D131" s="21"/>
      <c r="E131" s="146"/>
    </row>
    <row r="132" ht="18.75" customHeight="1" spans="1:5">
      <c r="A132" s="10">
        <v>1</v>
      </c>
      <c r="B132" s="11" t="s">
        <v>257</v>
      </c>
      <c r="C132" s="4" t="s">
        <v>258</v>
      </c>
      <c r="D132" s="15" t="s">
        <v>170</v>
      </c>
      <c r="E132" s="85">
        <v>482662.666666667</v>
      </c>
    </row>
    <row r="133" ht="18.75" customHeight="1" spans="1:5">
      <c r="A133" s="10">
        <v>2</v>
      </c>
      <c r="B133" s="11" t="s">
        <v>260</v>
      </c>
      <c r="C133" s="4" t="s">
        <v>71</v>
      </c>
      <c r="D133" s="15" t="s">
        <v>69</v>
      </c>
      <c r="E133" s="85">
        <v>468828.166666667</v>
      </c>
    </row>
    <row r="134" s="1" customFormat="1" ht="18.75" customHeight="1" spans="1:5">
      <c r="A134" s="10">
        <v>4</v>
      </c>
      <c r="B134" s="18" t="s">
        <v>261</v>
      </c>
      <c r="C134" s="4" t="s">
        <v>150</v>
      </c>
      <c r="D134" s="10" t="s">
        <v>344</v>
      </c>
      <c r="E134" s="85">
        <v>330407.083333333</v>
      </c>
    </row>
    <row r="135" s="1" customFormat="1" ht="18.75" customHeight="1" spans="1:5">
      <c r="A135" s="10">
        <v>5</v>
      </c>
      <c r="B135" s="18" t="s">
        <v>262</v>
      </c>
      <c r="C135" s="4" t="s">
        <v>150</v>
      </c>
      <c r="D135" s="10" t="s">
        <v>344</v>
      </c>
      <c r="E135" s="85">
        <v>330407.083333333</v>
      </c>
    </row>
    <row r="136" s="1" customFormat="1" customHeight="1" spans="1:5">
      <c r="A136" s="10">
        <v>6</v>
      </c>
      <c r="B136" s="18" t="s">
        <v>265</v>
      </c>
      <c r="C136" s="12" t="s">
        <v>266</v>
      </c>
      <c r="D136" s="15" t="s">
        <v>276</v>
      </c>
      <c r="E136" s="85">
        <v>287890.916666667</v>
      </c>
    </row>
    <row r="137" ht="24.75" customHeight="1" spans="1:5">
      <c r="A137" s="4"/>
      <c r="B137" s="20" t="s">
        <v>120</v>
      </c>
      <c r="C137" s="21">
        <v>6</v>
      </c>
      <c r="D137" s="26"/>
      <c r="E137" s="93">
        <f>SUM(E132:E136)</f>
        <v>1900195.91666667</v>
      </c>
    </row>
    <row r="138" ht="24.75" customHeight="1" spans="1:5">
      <c r="A138" s="4"/>
      <c r="B138" s="20"/>
      <c r="C138" s="21"/>
      <c r="D138" s="26"/>
      <c r="E138" s="93"/>
    </row>
    <row r="139" ht="24.75" customHeight="1" spans="1:5">
      <c r="A139" s="10"/>
      <c r="B139" s="20" t="s">
        <v>267</v>
      </c>
      <c r="C139" s="21"/>
      <c r="D139" s="21"/>
      <c r="E139" s="146"/>
    </row>
    <row r="140" s="1" customFormat="1" ht="18.75" customHeight="1" spans="1:5">
      <c r="A140" s="27">
        <v>1</v>
      </c>
      <c r="B140" s="18" t="s">
        <v>270</v>
      </c>
      <c r="C140" s="4" t="s">
        <v>271</v>
      </c>
      <c r="D140" s="10" t="s">
        <v>344</v>
      </c>
      <c r="E140" s="85">
        <v>330407.083333333</v>
      </c>
    </row>
    <row r="141" ht="24.75" customHeight="1" spans="1:5">
      <c r="A141" s="10">
        <v>2</v>
      </c>
      <c r="B141" s="11" t="s">
        <v>272</v>
      </c>
      <c r="C141" s="4" t="s">
        <v>273</v>
      </c>
      <c r="D141" s="10" t="s">
        <v>276</v>
      </c>
      <c r="E141" s="85">
        <v>287890.916666667</v>
      </c>
    </row>
    <row r="142" ht="24.75" customHeight="1" spans="1:5">
      <c r="A142" s="10">
        <v>3</v>
      </c>
      <c r="B142" s="11" t="s">
        <v>277</v>
      </c>
      <c r="C142" s="4" t="s">
        <v>278</v>
      </c>
      <c r="D142" s="10" t="s">
        <v>276</v>
      </c>
      <c r="E142" s="85">
        <v>287890.916666667</v>
      </c>
    </row>
    <row r="143" customHeight="1" spans="1:5">
      <c r="A143" s="4"/>
      <c r="B143" s="20" t="s">
        <v>120</v>
      </c>
      <c r="C143" s="21">
        <v>3</v>
      </c>
      <c r="D143" s="26"/>
      <c r="E143" s="93">
        <f>SUM(E140:E142)</f>
        <v>906188.916666667</v>
      </c>
    </row>
    <row r="144" customHeight="1" spans="1:5">
      <c r="A144" s="4"/>
      <c r="B144" s="20"/>
      <c r="C144" s="21"/>
      <c r="D144" s="26"/>
      <c r="E144" s="93"/>
    </row>
    <row r="145" customHeight="1" spans="1:5">
      <c r="A145" s="4"/>
      <c r="B145" s="20" t="s">
        <v>279</v>
      </c>
      <c r="C145" s="21"/>
      <c r="D145" s="21"/>
      <c r="E145" s="146"/>
    </row>
    <row r="146" customHeight="1" spans="1:5">
      <c r="A146" s="4">
        <v>1</v>
      </c>
      <c r="B146" s="11" t="s">
        <v>280</v>
      </c>
      <c r="C146" s="12" t="s">
        <v>281</v>
      </c>
      <c r="D146" s="15" t="s">
        <v>124</v>
      </c>
      <c r="E146" s="85">
        <v>1747106.41666666</v>
      </c>
    </row>
    <row r="147" customHeight="1" spans="1:5">
      <c r="A147" s="4">
        <v>2</v>
      </c>
      <c r="B147" s="11" t="s">
        <v>282</v>
      </c>
      <c r="C147" s="12" t="s">
        <v>558</v>
      </c>
      <c r="D147" s="15" t="s">
        <v>35</v>
      </c>
      <c r="E147" s="85">
        <v>905306.75</v>
      </c>
    </row>
    <row r="148" customHeight="1" spans="1:6">
      <c r="A148" s="4">
        <v>3</v>
      </c>
      <c r="B148" s="14" t="s">
        <v>284</v>
      </c>
      <c r="C148" s="12" t="s">
        <v>559</v>
      </c>
      <c r="D148" s="15" t="s">
        <v>207</v>
      </c>
      <c r="E148" s="85">
        <v>879008.916666667</v>
      </c>
      <c r="F148" s="13"/>
    </row>
    <row r="149" customHeight="1" spans="1:5">
      <c r="A149" s="4">
        <v>4</v>
      </c>
      <c r="B149" s="11" t="s">
        <v>287</v>
      </c>
      <c r="C149" s="12" t="s">
        <v>289</v>
      </c>
      <c r="D149" s="15" t="s">
        <v>189</v>
      </c>
      <c r="E149" s="85">
        <v>589657</v>
      </c>
    </row>
    <row r="150" customHeight="1" spans="1:5">
      <c r="A150" s="4">
        <v>5</v>
      </c>
      <c r="B150" s="11" t="s">
        <v>288</v>
      </c>
      <c r="C150" s="12" t="s">
        <v>289</v>
      </c>
      <c r="D150" s="15" t="s">
        <v>212</v>
      </c>
      <c r="E150" s="85">
        <v>558165.25</v>
      </c>
    </row>
    <row r="151" customHeight="1" spans="1:5">
      <c r="A151" s="4">
        <v>6</v>
      </c>
      <c r="B151" s="11" t="s">
        <v>290</v>
      </c>
      <c r="C151" s="12" t="s">
        <v>289</v>
      </c>
      <c r="D151" s="15" t="s">
        <v>46</v>
      </c>
      <c r="E151" s="85">
        <v>573911.083333334</v>
      </c>
    </row>
    <row r="152" s="1" customFormat="1" customHeight="1" spans="1:5">
      <c r="A152" s="4">
        <v>7</v>
      </c>
      <c r="B152" s="18" t="s">
        <v>291</v>
      </c>
      <c r="C152" s="12" t="s">
        <v>292</v>
      </c>
      <c r="D152" s="15" t="s">
        <v>80</v>
      </c>
      <c r="E152" s="85">
        <v>372145.333333333</v>
      </c>
    </row>
    <row r="153" customHeight="1" spans="1:5">
      <c r="A153" s="4">
        <v>8</v>
      </c>
      <c r="B153" s="11" t="s">
        <v>293</v>
      </c>
      <c r="C153" s="12" t="s">
        <v>561</v>
      </c>
      <c r="D153" s="10" t="s">
        <v>85</v>
      </c>
      <c r="E153" s="85">
        <v>355320.666666667</v>
      </c>
    </row>
    <row r="154" customHeight="1" spans="1:5">
      <c r="A154" s="4">
        <v>9</v>
      </c>
      <c r="B154" s="18" t="s">
        <v>295</v>
      </c>
      <c r="C154" s="12" t="s">
        <v>296</v>
      </c>
      <c r="D154" s="15" t="s">
        <v>108</v>
      </c>
      <c r="E154" s="85">
        <v>301910.75</v>
      </c>
    </row>
    <row r="155" customHeight="1" spans="1:5">
      <c r="A155" s="4">
        <v>10</v>
      </c>
      <c r="B155" s="18" t="s">
        <v>297</v>
      </c>
      <c r="C155" s="12" t="s">
        <v>292</v>
      </c>
      <c r="D155" s="15" t="s">
        <v>108</v>
      </c>
      <c r="E155" s="85">
        <v>301910.75</v>
      </c>
    </row>
    <row r="156" customHeight="1" spans="1:5">
      <c r="A156" s="4">
        <v>11</v>
      </c>
      <c r="B156" s="18" t="s">
        <v>298</v>
      </c>
      <c r="C156" s="12" t="s">
        <v>296</v>
      </c>
      <c r="D156" s="15" t="s">
        <v>111</v>
      </c>
      <c r="E156" s="939">
        <v>294900.833333334</v>
      </c>
    </row>
    <row r="157" ht="28.5" customHeight="1" spans="1:5">
      <c r="A157" s="4"/>
      <c r="B157" s="20" t="s">
        <v>120</v>
      </c>
      <c r="C157" s="26" t="s">
        <v>826</v>
      </c>
      <c r="D157" s="15"/>
      <c r="E157" s="221">
        <f>SUM(E146:E156)</f>
        <v>6879343.74999999</v>
      </c>
    </row>
    <row r="158" customHeight="1" spans="1:5">
      <c r="A158" s="4"/>
      <c r="B158" s="22"/>
      <c r="C158" s="26"/>
      <c r="D158" s="15"/>
      <c r="E158" s="146"/>
    </row>
    <row r="159" customHeight="1" spans="1:5">
      <c r="A159" s="4"/>
      <c r="B159" s="20" t="s">
        <v>300</v>
      </c>
      <c r="C159" s="12"/>
      <c r="D159" s="15"/>
      <c r="E159" s="85"/>
    </row>
    <row r="160" customHeight="1" spans="1:5">
      <c r="A160" s="27">
        <v>1</v>
      </c>
      <c r="B160" s="14" t="s">
        <v>301</v>
      </c>
      <c r="C160" s="4" t="s">
        <v>302</v>
      </c>
      <c r="D160" s="10" t="s">
        <v>508</v>
      </c>
      <c r="E160" s="85">
        <v>1647612</v>
      </c>
    </row>
    <row r="161" customHeight="1" spans="1:5">
      <c r="A161" s="27">
        <v>2</v>
      </c>
      <c r="B161" s="14" t="s">
        <v>304</v>
      </c>
      <c r="C161" s="4" t="s">
        <v>305</v>
      </c>
      <c r="D161" s="16" t="s">
        <v>35</v>
      </c>
      <c r="E161" s="85">
        <v>905306.75</v>
      </c>
    </row>
    <row r="162" customHeight="1" spans="1:5">
      <c r="A162" s="27">
        <v>3</v>
      </c>
      <c r="B162" s="11" t="s">
        <v>306</v>
      </c>
      <c r="C162" s="12" t="s">
        <v>307</v>
      </c>
      <c r="D162" s="15" t="s">
        <v>41</v>
      </c>
      <c r="E162" s="85">
        <v>700713.916666666</v>
      </c>
    </row>
    <row r="163" customHeight="1" spans="1:5">
      <c r="A163" s="27">
        <v>4</v>
      </c>
      <c r="B163" s="11" t="s">
        <v>308</v>
      </c>
      <c r="C163" s="4" t="s">
        <v>309</v>
      </c>
      <c r="D163" s="15" t="s">
        <v>41</v>
      </c>
      <c r="E163" s="85">
        <v>700713.916666666</v>
      </c>
    </row>
    <row r="164" customHeight="1" spans="1:5">
      <c r="A164" s="27">
        <v>5</v>
      </c>
      <c r="B164" s="11" t="s">
        <v>310</v>
      </c>
      <c r="C164" s="4" t="s">
        <v>309</v>
      </c>
      <c r="D164" s="15" t="s">
        <v>41</v>
      </c>
      <c r="E164" s="85">
        <v>700713.916666666</v>
      </c>
    </row>
    <row r="165" customHeight="1" spans="1:5">
      <c r="A165" s="27">
        <v>6</v>
      </c>
      <c r="B165" s="11" t="s">
        <v>313</v>
      </c>
      <c r="C165" s="12" t="s">
        <v>230</v>
      </c>
      <c r="D165" s="15" t="s">
        <v>66</v>
      </c>
      <c r="E165" s="85">
        <v>482846.583333334</v>
      </c>
    </row>
    <row r="166" customHeight="1" spans="1:5">
      <c r="A166" s="27">
        <v>7</v>
      </c>
      <c r="B166" s="11" t="s">
        <v>314</v>
      </c>
      <c r="C166" s="4" t="s">
        <v>315</v>
      </c>
      <c r="D166" s="15" t="s">
        <v>66</v>
      </c>
      <c r="E166" s="85">
        <v>482846.583333334</v>
      </c>
    </row>
    <row r="167" customHeight="1" spans="1:5">
      <c r="A167" s="27">
        <v>8</v>
      </c>
      <c r="B167" s="11" t="s">
        <v>316</v>
      </c>
      <c r="C167" s="12" t="s">
        <v>564</v>
      </c>
      <c r="D167" s="15" t="s">
        <v>170</v>
      </c>
      <c r="E167" s="85">
        <v>482662.666666667</v>
      </c>
    </row>
    <row r="168" customHeight="1" spans="1:5">
      <c r="A168" s="27">
        <v>9</v>
      </c>
      <c r="B168" s="11" t="s">
        <v>318</v>
      </c>
      <c r="C168" s="12" t="s">
        <v>319</v>
      </c>
      <c r="D168" s="15" t="s">
        <v>69</v>
      </c>
      <c r="E168" s="85">
        <v>468828.166666667</v>
      </c>
    </row>
    <row r="169" customHeight="1" spans="1:5">
      <c r="A169" s="27">
        <v>10</v>
      </c>
      <c r="B169" s="18" t="s">
        <v>320</v>
      </c>
      <c r="C169" s="4" t="s">
        <v>321</v>
      </c>
      <c r="D169" s="15" t="s">
        <v>131</v>
      </c>
      <c r="E169" s="220">
        <v>454993.583333333</v>
      </c>
    </row>
    <row r="170" customHeight="1" spans="1:5">
      <c r="A170" s="27">
        <v>11</v>
      </c>
      <c r="B170" s="11" t="s">
        <v>322</v>
      </c>
      <c r="C170" s="4" t="s">
        <v>321</v>
      </c>
      <c r="D170" s="15" t="s">
        <v>504</v>
      </c>
      <c r="E170" s="220">
        <v>441159</v>
      </c>
    </row>
    <row r="171" customHeight="1" spans="1:5">
      <c r="A171" s="27">
        <v>12</v>
      </c>
      <c r="B171" s="11" t="s">
        <v>323</v>
      </c>
      <c r="C171" s="4" t="s">
        <v>321</v>
      </c>
      <c r="D171" s="15" t="s">
        <v>504</v>
      </c>
      <c r="E171" s="220">
        <v>441159</v>
      </c>
    </row>
    <row r="172" customHeight="1" spans="1:5">
      <c r="A172" s="27">
        <v>12</v>
      </c>
      <c r="B172" s="11" t="s">
        <v>324</v>
      </c>
      <c r="C172" s="4" t="s">
        <v>321</v>
      </c>
      <c r="D172" s="15" t="s">
        <v>504</v>
      </c>
      <c r="E172" s="220">
        <v>441159</v>
      </c>
    </row>
    <row r="173" customHeight="1" spans="1:5">
      <c r="A173" s="27">
        <v>13</v>
      </c>
      <c r="B173" s="301" t="s">
        <v>325</v>
      </c>
      <c r="C173" s="4" t="s">
        <v>321</v>
      </c>
      <c r="D173" s="15" t="s">
        <v>131</v>
      </c>
      <c r="E173" s="220">
        <v>454993.583333333</v>
      </c>
    </row>
    <row r="174" customHeight="1" spans="1:5">
      <c r="A174" s="27">
        <v>14</v>
      </c>
      <c r="B174" s="11" t="s">
        <v>326</v>
      </c>
      <c r="C174" s="12" t="s">
        <v>327</v>
      </c>
      <c r="D174" s="15" t="s">
        <v>77</v>
      </c>
      <c r="E174" s="220">
        <v>390135.833333334</v>
      </c>
    </row>
    <row r="175" customHeight="1" spans="1:5">
      <c r="A175" s="27">
        <v>15</v>
      </c>
      <c r="B175" s="11" t="s">
        <v>328</v>
      </c>
      <c r="C175" s="12" t="s">
        <v>329</v>
      </c>
      <c r="D175" s="10" t="s">
        <v>88</v>
      </c>
      <c r="E175" s="85">
        <v>347016.166666666</v>
      </c>
    </row>
    <row r="176" customHeight="1" spans="1:5">
      <c r="A176" s="27">
        <v>16</v>
      </c>
      <c r="B176" s="11" t="s">
        <v>330</v>
      </c>
      <c r="C176" s="12" t="s">
        <v>565</v>
      </c>
      <c r="D176" s="15" t="s">
        <v>151</v>
      </c>
      <c r="E176" s="220">
        <v>399131.166666667</v>
      </c>
    </row>
    <row r="177" customHeight="1" spans="1:5">
      <c r="A177" s="27">
        <v>17</v>
      </c>
      <c r="B177" s="11" t="s">
        <v>332</v>
      </c>
      <c r="C177" s="12" t="s">
        <v>566</v>
      </c>
      <c r="D177" s="15" t="s">
        <v>85</v>
      </c>
      <c r="E177" s="220">
        <v>355320.666666667</v>
      </c>
    </row>
    <row r="178" customHeight="1" spans="1:5">
      <c r="A178" s="27">
        <v>18</v>
      </c>
      <c r="B178" s="11" t="s">
        <v>334</v>
      </c>
      <c r="C178" s="12" t="s">
        <v>567</v>
      </c>
      <c r="D178" s="15" t="s">
        <v>151</v>
      </c>
      <c r="E178" s="220">
        <v>399131.166666667</v>
      </c>
    </row>
    <row r="179" customHeight="1" spans="1:5">
      <c r="A179" s="27">
        <v>19</v>
      </c>
      <c r="B179" s="11" t="s">
        <v>335</v>
      </c>
      <c r="C179" s="12" t="s">
        <v>568</v>
      </c>
      <c r="D179" s="15" t="s">
        <v>85</v>
      </c>
      <c r="E179" s="220">
        <v>355320.666666667</v>
      </c>
    </row>
    <row r="180" customHeight="1" spans="1:5">
      <c r="A180" s="27">
        <v>20</v>
      </c>
      <c r="B180" s="18" t="s">
        <v>337</v>
      </c>
      <c r="C180" s="12" t="s">
        <v>338</v>
      </c>
      <c r="D180" s="15" t="s">
        <v>99</v>
      </c>
      <c r="E180" s="220">
        <v>338711.666666667</v>
      </c>
    </row>
    <row r="181" customHeight="1" spans="1:5">
      <c r="A181" s="27">
        <v>21</v>
      </c>
      <c r="B181" s="18" t="s">
        <v>339</v>
      </c>
      <c r="C181" s="12" t="s">
        <v>338</v>
      </c>
      <c r="D181" s="15" t="s">
        <v>99</v>
      </c>
      <c r="E181" s="220">
        <v>338711.666666667</v>
      </c>
    </row>
    <row r="182" s="1" customFormat="1" ht="18.75" customHeight="1" spans="1:5">
      <c r="A182" s="27">
        <v>22</v>
      </c>
      <c r="B182" s="18" t="s">
        <v>340</v>
      </c>
      <c r="C182" s="4" t="s">
        <v>341</v>
      </c>
      <c r="D182" s="10" t="s">
        <v>344</v>
      </c>
      <c r="E182" s="85">
        <v>330407.083333333</v>
      </c>
    </row>
    <row r="183" customHeight="1" spans="1:5">
      <c r="A183" s="27">
        <v>23</v>
      </c>
      <c r="B183" s="18" t="s">
        <v>345</v>
      </c>
      <c r="C183" s="12" t="s">
        <v>346</v>
      </c>
      <c r="D183" s="15" t="s">
        <v>108</v>
      </c>
      <c r="E183" s="85">
        <v>301910.75</v>
      </c>
    </row>
    <row r="184" customHeight="1" spans="1:5">
      <c r="A184" s="27">
        <v>24</v>
      </c>
      <c r="B184" s="18" t="s">
        <v>347</v>
      </c>
      <c r="C184" s="12" t="s">
        <v>348</v>
      </c>
      <c r="D184" s="15" t="s">
        <v>108</v>
      </c>
      <c r="E184" s="85">
        <v>301910.75</v>
      </c>
    </row>
    <row r="185" customHeight="1" spans="1:5">
      <c r="A185" s="27">
        <v>25</v>
      </c>
      <c r="B185" s="18" t="s">
        <v>349</v>
      </c>
      <c r="C185" s="12" t="s">
        <v>350</v>
      </c>
      <c r="D185" s="15" t="s">
        <v>108</v>
      </c>
      <c r="E185" s="85">
        <v>301910.75</v>
      </c>
    </row>
    <row r="186" customHeight="1" spans="1:5">
      <c r="A186" s="27">
        <v>26</v>
      </c>
      <c r="B186" s="18" t="s">
        <v>351</v>
      </c>
      <c r="C186" s="12" t="s">
        <v>569</v>
      </c>
      <c r="D186" s="15" t="s">
        <v>105</v>
      </c>
      <c r="E186" s="85">
        <v>308920.666666667</v>
      </c>
    </row>
    <row r="187" customHeight="1" spans="1:5">
      <c r="A187" s="27">
        <v>27</v>
      </c>
      <c r="B187" s="18" t="s">
        <v>352</v>
      </c>
      <c r="C187" s="12" t="s">
        <v>348</v>
      </c>
      <c r="D187" s="15" t="s">
        <v>108</v>
      </c>
      <c r="E187" s="85">
        <v>301910.75</v>
      </c>
    </row>
    <row r="188" customHeight="1" spans="1:5">
      <c r="A188" s="27">
        <v>28</v>
      </c>
      <c r="B188" s="18" t="s">
        <v>353</v>
      </c>
      <c r="C188" s="12" t="s">
        <v>354</v>
      </c>
      <c r="D188" s="15" t="s">
        <v>111</v>
      </c>
      <c r="E188" s="676">
        <v>294900.833333334</v>
      </c>
    </row>
    <row r="189" customHeight="1" spans="1:5">
      <c r="A189" s="27">
        <v>29</v>
      </c>
      <c r="B189" s="18" t="s">
        <v>355</v>
      </c>
      <c r="C189" s="12" t="s">
        <v>354</v>
      </c>
      <c r="D189" s="15" t="s">
        <v>111</v>
      </c>
      <c r="E189" s="676">
        <v>294900.833333334</v>
      </c>
    </row>
    <row r="190" s="1" customFormat="1" customHeight="1" spans="1:5">
      <c r="A190" s="27">
        <v>30</v>
      </c>
      <c r="B190" s="18" t="s">
        <v>486</v>
      </c>
      <c r="C190" s="12" t="s">
        <v>509</v>
      </c>
      <c r="D190" s="15" t="s">
        <v>276</v>
      </c>
      <c r="E190" s="85">
        <v>287890.916666667</v>
      </c>
    </row>
    <row r="191" s="1" customFormat="1" customHeight="1" spans="1:5">
      <c r="A191" s="27">
        <v>31</v>
      </c>
      <c r="B191" s="18" t="s">
        <v>356</v>
      </c>
      <c r="C191" s="12" t="s">
        <v>343</v>
      </c>
      <c r="D191" s="15" t="s">
        <v>276</v>
      </c>
      <c r="E191" s="85">
        <v>287890.916666667</v>
      </c>
    </row>
    <row r="192" s="1" customFormat="1" customHeight="1" spans="1:5">
      <c r="A192" s="27">
        <v>32</v>
      </c>
      <c r="B192" s="18" t="s">
        <v>342</v>
      </c>
      <c r="C192" s="12" t="s">
        <v>343</v>
      </c>
      <c r="D192" s="15" t="s">
        <v>276</v>
      </c>
      <c r="E192" s="85">
        <v>287890.916666667</v>
      </c>
    </row>
    <row r="193" customHeight="1" spans="1:5">
      <c r="A193" s="27">
        <v>33</v>
      </c>
      <c r="B193" s="11" t="s">
        <v>361</v>
      </c>
      <c r="C193" s="12" t="s">
        <v>362</v>
      </c>
      <c r="D193" s="15" t="s">
        <v>375</v>
      </c>
      <c r="E193" s="226">
        <v>237717.166666666</v>
      </c>
    </row>
    <row r="194" customHeight="1" spans="1:5">
      <c r="A194" s="27">
        <v>34</v>
      </c>
      <c r="B194" s="11" t="s">
        <v>364</v>
      </c>
      <c r="C194" s="12" t="s">
        <v>362</v>
      </c>
      <c r="D194" s="15" t="s">
        <v>375</v>
      </c>
      <c r="E194" s="226">
        <v>237717.166666666</v>
      </c>
    </row>
    <row r="195" customHeight="1" spans="1:5">
      <c r="A195" s="27">
        <v>35</v>
      </c>
      <c r="B195" s="11" t="s">
        <v>570</v>
      </c>
      <c r="C195" s="12" t="s">
        <v>362</v>
      </c>
      <c r="D195" s="15" t="s">
        <v>375</v>
      </c>
      <c r="E195" s="226">
        <v>237717.166666666</v>
      </c>
    </row>
    <row r="196" customHeight="1" spans="1:5">
      <c r="A196" s="27">
        <v>36</v>
      </c>
      <c r="B196" s="11" t="s">
        <v>365</v>
      </c>
      <c r="C196" s="12" t="s">
        <v>362</v>
      </c>
      <c r="D196" s="15" t="s">
        <v>375</v>
      </c>
      <c r="E196" s="226">
        <v>237717.166666666</v>
      </c>
    </row>
    <row r="197" customHeight="1" spans="1:5">
      <c r="A197" s="27">
        <v>37</v>
      </c>
      <c r="B197" s="11" t="s">
        <v>366</v>
      </c>
      <c r="C197" s="12" t="s">
        <v>362</v>
      </c>
      <c r="D197" s="15" t="s">
        <v>375</v>
      </c>
      <c r="E197" s="226">
        <v>237717.166666666</v>
      </c>
    </row>
    <row r="198" customHeight="1" spans="1:5">
      <c r="A198" s="27">
        <v>38</v>
      </c>
      <c r="B198" s="11" t="s">
        <v>367</v>
      </c>
      <c r="C198" s="12" t="s">
        <v>362</v>
      </c>
      <c r="D198" s="15" t="s">
        <v>388</v>
      </c>
      <c r="E198" s="226">
        <v>231733.833333334</v>
      </c>
    </row>
    <row r="199" customHeight="1" spans="1:5">
      <c r="A199" s="27">
        <v>39</v>
      </c>
      <c r="B199" s="11" t="s">
        <v>369</v>
      </c>
      <c r="C199" s="12" t="s">
        <v>362</v>
      </c>
      <c r="D199" s="15" t="s">
        <v>388</v>
      </c>
      <c r="E199" s="226">
        <v>231733.833333334</v>
      </c>
    </row>
    <row r="200" customHeight="1" spans="1:5">
      <c r="A200" s="27">
        <v>40</v>
      </c>
      <c r="B200" s="14" t="s">
        <v>370</v>
      </c>
      <c r="C200" s="12" t="s">
        <v>362</v>
      </c>
      <c r="D200" s="15" t="s">
        <v>388</v>
      </c>
      <c r="E200" s="226">
        <v>231733.833333334</v>
      </c>
    </row>
    <row r="201" customHeight="1" spans="1:5">
      <c r="A201" s="27">
        <v>41</v>
      </c>
      <c r="B201" s="11" t="s">
        <v>371</v>
      </c>
      <c r="C201" s="12" t="s">
        <v>362</v>
      </c>
      <c r="D201" s="15" t="s">
        <v>388</v>
      </c>
      <c r="E201" s="226">
        <v>231733.833333334</v>
      </c>
    </row>
    <row r="202" customHeight="1" spans="1:5">
      <c r="A202" s="27">
        <v>42</v>
      </c>
      <c r="B202" s="18" t="s">
        <v>372</v>
      </c>
      <c r="C202" s="12" t="s">
        <v>362</v>
      </c>
      <c r="D202" s="15" t="s">
        <v>388</v>
      </c>
      <c r="E202" s="940">
        <v>231733.833333334</v>
      </c>
    </row>
    <row r="203" customHeight="1" spans="1:5">
      <c r="A203" s="27">
        <v>43</v>
      </c>
      <c r="B203" s="18" t="s">
        <v>359</v>
      </c>
      <c r="C203" s="12" t="s">
        <v>362</v>
      </c>
      <c r="D203" s="15" t="s">
        <v>388</v>
      </c>
      <c r="E203" s="226">
        <v>231733.833333334</v>
      </c>
    </row>
    <row r="204" customHeight="1" spans="1:5">
      <c r="A204" s="27">
        <v>44</v>
      </c>
      <c r="B204" s="11" t="s">
        <v>373</v>
      </c>
      <c r="C204" s="12" t="s">
        <v>374</v>
      </c>
      <c r="D204" s="15" t="s">
        <v>510</v>
      </c>
      <c r="E204" s="85">
        <v>219767.333333333</v>
      </c>
    </row>
    <row r="205" customHeight="1" spans="1:5">
      <c r="A205" s="27">
        <v>45</v>
      </c>
      <c r="B205" s="11" t="s">
        <v>376</v>
      </c>
      <c r="C205" s="12" t="s">
        <v>374</v>
      </c>
      <c r="D205" s="15" t="s">
        <v>510</v>
      </c>
      <c r="E205" s="85">
        <v>219767.333333333</v>
      </c>
    </row>
    <row r="206" customHeight="1" spans="1:5">
      <c r="A206" s="27">
        <v>46</v>
      </c>
      <c r="B206" s="18" t="s">
        <v>377</v>
      </c>
      <c r="C206" s="12" t="s">
        <v>374</v>
      </c>
      <c r="D206" s="15" t="s">
        <v>381</v>
      </c>
      <c r="E206" s="85">
        <v>225750.583333333</v>
      </c>
    </row>
    <row r="207" customHeight="1" spans="1:5">
      <c r="A207" s="27">
        <v>47</v>
      </c>
      <c r="B207" s="11" t="s">
        <v>379</v>
      </c>
      <c r="C207" s="12" t="s">
        <v>393</v>
      </c>
      <c r="D207" s="15" t="s">
        <v>511</v>
      </c>
      <c r="E207" s="85">
        <v>213784</v>
      </c>
    </row>
    <row r="208" customHeight="1" spans="1:5">
      <c r="A208" s="27">
        <v>48</v>
      </c>
      <c r="B208" s="11" t="s">
        <v>382</v>
      </c>
      <c r="C208" s="12" t="s">
        <v>390</v>
      </c>
      <c r="D208" s="15" t="s">
        <v>512</v>
      </c>
      <c r="E208" s="85">
        <v>146356.75</v>
      </c>
    </row>
    <row r="209" customHeight="1" spans="1:5">
      <c r="A209" s="27">
        <v>49</v>
      </c>
      <c r="B209" s="11" t="s">
        <v>383</v>
      </c>
      <c r="C209" s="12" t="s">
        <v>390</v>
      </c>
      <c r="D209" s="15" t="s">
        <v>512</v>
      </c>
      <c r="E209" s="85">
        <v>146356.75</v>
      </c>
    </row>
    <row r="210" customHeight="1" spans="1:5">
      <c r="A210" s="27">
        <v>50</v>
      </c>
      <c r="B210" s="11" t="s">
        <v>384</v>
      </c>
      <c r="C210" s="12" t="s">
        <v>390</v>
      </c>
      <c r="D210" s="15" t="s">
        <v>512</v>
      </c>
      <c r="E210" s="85">
        <v>146356.75</v>
      </c>
    </row>
    <row r="211" customHeight="1" spans="1:5">
      <c r="A211" s="27">
        <v>51</v>
      </c>
      <c r="B211" s="11" t="s">
        <v>385</v>
      </c>
      <c r="C211" s="12" t="s">
        <v>390</v>
      </c>
      <c r="D211" s="15" t="s">
        <v>512</v>
      </c>
      <c r="E211" s="85">
        <v>146356.75</v>
      </c>
    </row>
    <row r="212" customHeight="1" spans="1:5">
      <c r="A212" s="27">
        <v>52</v>
      </c>
      <c r="B212" s="11" t="s">
        <v>386</v>
      </c>
      <c r="C212" s="12" t="s">
        <v>390</v>
      </c>
      <c r="D212" s="15" t="s">
        <v>512</v>
      </c>
      <c r="E212" s="85">
        <v>146356.75</v>
      </c>
    </row>
    <row r="213" customHeight="1" spans="1:5">
      <c r="A213" s="27">
        <v>53</v>
      </c>
      <c r="B213" s="18" t="s">
        <v>387</v>
      </c>
      <c r="C213" s="12" t="s">
        <v>390</v>
      </c>
      <c r="D213" s="15" t="s">
        <v>512</v>
      </c>
      <c r="E213" s="85">
        <v>146356.75</v>
      </c>
    </row>
    <row r="214" customHeight="1" spans="1:5">
      <c r="A214" s="27">
        <v>54</v>
      </c>
      <c r="B214" s="18" t="s">
        <v>389</v>
      </c>
      <c r="C214" s="12" t="s">
        <v>390</v>
      </c>
      <c r="D214" s="15" t="s">
        <v>512</v>
      </c>
      <c r="E214" s="85">
        <v>146356.75</v>
      </c>
    </row>
    <row r="215" customHeight="1" spans="1:5">
      <c r="A215" s="27">
        <v>56</v>
      </c>
      <c r="B215" s="11" t="s">
        <v>392</v>
      </c>
      <c r="C215" s="12" t="s">
        <v>393</v>
      </c>
      <c r="D215" s="15" t="s">
        <v>512</v>
      </c>
      <c r="E215" s="85">
        <v>146356.75</v>
      </c>
    </row>
    <row r="216" customHeight="1" spans="1:5">
      <c r="A216" s="27">
        <v>57</v>
      </c>
      <c r="B216" s="18" t="s">
        <v>360</v>
      </c>
      <c r="C216" s="12" t="s">
        <v>395</v>
      </c>
      <c r="D216" s="15" t="s">
        <v>573</v>
      </c>
      <c r="E216" s="85">
        <v>143495.666666667</v>
      </c>
    </row>
    <row r="217" customHeight="1" spans="1:5">
      <c r="A217" s="27">
        <v>58</v>
      </c>
      <c r="B217" s="18" t="s">
        <v>394</v>
      </c>
      <c r="C217" s="12" t="s">
        <v>395</v>
      </c>
      <c r="D217" s="15" t="s">
        <v>398</v>
      </c>
      <c r="E217" s="85">
        <v>137773.5</v>
      </c>
    </row>
    <row r="218" customHeight="1" spans="1:5">
      <c r="A218" s="27">
        <v>59</v>
      </c>
      <c r="B218" s="18" t="s">
        <v>397</v>
      </c>
      <c r="C218" s="12" t="s">
        <v>395</v>
      </c>
      <c r="D218" s="15" t="s">
        <v>400</v>
      </c>
      <c r="E218" s="85">
        <v>134912.666666667</v>
      </c>
    </row>
    <row r="219" customHeight="1" spans="1:5">
      <c r="A219" s="27">
        <v>60</v>
      </c>
      <c r="B219" s="18" t="s">
        <v>401</v>
      </c>
      <c r="C219" s="12" t="s">
        <v>402</v>
      </c>
      <c r="D219" s="15" t="s">
        <v>513</v>
      </c>
      <c r="E219" s="85">
        <v>129049.416666667</v>
      </c>
    </row>
    <row r="220" customHeight="1" spans="1:5">
      <c r="A220" s="27">
        <v>61</v>
      </c>
      <c r="B220" s="18" t="s">
        <v>404</v>
      </c>
      <c r="C220" s="12" t="s">
        <v>402</v>
      </c>
      <c r="D220" s="15" t="s">
        <v>513</v>
      </c>
      <c r="E220" s="85">
        <v>129049.416666667</v>
      </c>
    </row>
    <row r="221" customHeight="1" spans="1:5">
      <c r="A221" s="27">
        <v>62</v>
      </c>
      <c r="B221" s="18" t="s">
        <v>405</v>
      </c>
      <c r="C221" s="12" t="s">
        <v>402</v>
      </c>
      <c r="D221" s="15" t="s">
        <v>513</v>
      </c>
      <c r="E221" s="85">
        <v>129049.416666667</v>
      </c>
    </row>
    <row r="222" customHeight="1" spans="1:5">
      <c r="A222" s="27">
        <v>63</v>
      </c>
      <c r="B222" s="18" t="s">
        <v>406</v>
      </c>
      <c r="C222" s="12" t="s">
        <v>407</v>
      </c>
      <c r="D222" s="15" t="s">
        <v>396</v>
      </c>
      <c r="E222" s="85">
        <v>140634.666666667</v>
      </c>
    </row>
    <row r="223" customHeight="1" spans="1:5">
      <c r="A223" s="27">
        <v>64</v>
      </c>
      <c r="B223" s="18" t="s">
        <v>409</v>
      </c>
      <c r="C223" s="12" t="s">
        <v>407</v>
      </c>
      <c r="D223" s="15" t="s">
        <v>396</v>
      </c>
      <c r="E223" s="85">
        <v>140634.666666667</v>
      </c>
    </row>
    <row r="224" ht="30.75" customHeight="1" spans="1:5">
      <c r="A224" s="27"/>
      <c r="B224" s="8" t="s">
        <v>120</v>
      </c>
      <c r="C224" s="28" t="s">
        <v>827</v>
      </c>
      <c r="D224" s="29"/>
      <c r="E224" s="93">
        <f>SUM(E160:E223)</f>
        <v>20743144.3333334</v>
      </c>
    </row>
    <row r="225" ht="30" customHeight="1" spans="1:5">
      <c r="A225" s="4"/>
      <c r="B225" s="30" t="s">
        <v>411</v>
      </c>
      <c r="C225" s="31">
        <f>C44+C53+C67+C72+C85+C96+C110+C119+C129+C143+C157+C224</f>
        <v>175</v>
      </c>
      <c r="D225" s="32"/>
      <c r="E225" s="227">
        <f>E224+E157+E143+E137+E129+E119+E110+E96+E85+E72+E67+E53+E44</f>
        <v>88497829.3333333</v>
      </c>
    </row>
    <row r="226" ht="38.25" customHeight="1" spans="2:5">
      <c r="B226" s="33"/>
      <c r="D226" s="34"/>
      <c r="E226" s="34"/>
    </row>
    <row r="227" ht="36.75" customHeight="1" spans="2:5">
      <c r="B227" s="33"/>
      <c r="C227" s="34"/>
      <c r="D227" s="34"/>
      <c r="E227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D35" activePane="bottomRight" state="frozen"/>
      <selection/>
      <selection pane="topRight"/>
      <selection pane="bottomLeft"/>
      <selection pane="bottomRight" activeCell="K108" sqref="K108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605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516</v>
      </c>
      <c r="F4" s="906" t="s">
        <v>490</v>
      </c>
      <c r="G4" s="218" t="s">
        <v>517</v>
      </c>
      <c r="H4" s="218" t="s">
        <v>518</v>
      </c>
      <c r="I4" s="218" t="s">
        <v>519</v>
      </c>
      <c r="J4" s="914" t="s">
        <v>520</v>
      </c>
      <c r="K4" s="914" t="s">
        <v>521</v>
      </c>
      <c r="L4" s="914" t="s">
        <v>522</v>
      </c>
      <c r="M4" s="914" t="s">
        <v>523</v>
      </c>
      <c r="N4" s="914" t="s">
        <v>524</v>
      </c>
      <c r="O4" s="914" t="s">
        <v>499</v>
      </c>
      <c r="P4" s="914" t="s">
        <v>525</v>
      </c>
      <c r="Q4" s="914" t="s">
        <v>526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527</v>
      </c>
      <c r="F6" s="908" t="s">
        <v>528</v>
      </c>
      <c r="G6" s="10" t="s">
        <v>529</v>
      </c>
      <c r="H6" s="10" t="s">
        <v>530</v>
      </c>
      <c r="I6" s="915" t="s">
        <v>531</v>
      </c>
      <c r="J6" s="915" t="s">
        <v>532</v>
      </c>
      <c r="K6" s="915" t="s">
        <v>533</v>
      </c>
      <c r="L6" s="915" t="s">
        <v>534</v>
      </c>
      <c r="M6" s="915" t="s">
        <v>535</v>
      </c>
      <c r="N6" s="915" t="s">
        <v>536</v>
      </c>
      <c r="O6" s="915" t="s">
        <v>537</v>
      </c>
      <c r="P6" s="915" t="s">
        <v>538</v>
      </c>
      <c r="Q6" s="915" t="s">
        <v>539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540</v>
      </c>
      <c r="I7" s="10" t="s">
        <v>541</v>
      </c>
      <c r="J7" s="915" t="s">
        <v>542</v>
      </c>
      <c r="K7" s="915" t="s">
        <v>543</v>
      </c>
      <c r="L7" s="915" t="s">
        <v>544</v>
      </c>
      <c r="M7" s="915"/>
      <c r="N7" s="915" t="s">
        <v>545</v>
      </c>
      <c r="O7" s="915" t="s">
        <v>546</v>
      </c>
      <c r="P7" s="915" t="s">
        <v>546</v>
      </c>
      <c r="Q7" s="915" t="s">
        <v>546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>F8+G8</f>
        <v>1971137.08333333</v>
      </c>
      <c r="I8" s="220">
        <f>H8-E8</f>
        <v>311385.91633333</v>
      </c>
      <c r="J8" s="916"/>
      <c r="K8" s="916"/>
      <c r="L8" s="916">
        <f t="shared" ref="L8:L39" si="0">K8-J8</f>
        <v>0</v>
      </c>
      <c r="M8" s="916"/>
      <c r="N8" s="916"/>
      <c r="O8" s="916">
        <f>N8-M8</f>
        <v>0</v>
      </c>
      <c r="P8" s="916">
        <f>K8*12</f>
        <v>0</v>
      </c>
      <c r="Q8" s="916">
        <f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ref="H9:H38" si="1">F9+G9</f>
        <v>905306.75</v>
      </c>
      <c r="I9" s="220">
        <f t="shared" ref="I9:I40" si="2">H9-E9</f>
        <v>142933.583333333</v>
      </c>
      <c r="J9" s="916">
        <v>60989.8533333333</v>
      </c>
      <c r="K9" s="916">
        <f t="shared" ref="K9:K40" si="3">H9*0.08</f>
        <v>72424.54</v>
      </c>
      <c r="L9" s="916">
        <f t="shared" si="0"/>
        <v>11434.6866666667</v>
      </c>
      <c r="M9" s="916"/>
      <c r="N9" s="916"/>
      <c r="O9" s="916">
        <f t="shared" ref="O9:O40" si="4">N9-M9</f>
        <v>0</v>
      </c>
      <c r="P9" s="916">
        <f t="shared" ref="P9:P38" si="5">K9*12</f>
        <v>869094.48</v>
      </c>
      <c r="Q9" s="916">
        <f t="shared" ref="Q9:Q38" si="6">N9*12</f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1"/>
        <v>905306.75</v>
      </c>
      <c r="I10" s="220">
        <f t="shared" si="2"/>
        <v>142933.583333333</v>
      </c>
      <c r="J10" s="916"/>
      <c r="K10" s="916"/>
      <c r="L10" s="916">
        <f t="shared" si="0"/>
        <v>0</v>
      </c>
      <c r="M10" s="916"/>
      <c r="N10" s="916"/>
      <c r="O10" s="916">
        <f t="shared" si="4"/>
        <v>0</v>
      </c>
      <c r="P10" s="916">
        <f t="shared" si="5"/>
        <v>0</v>
      </c>
      <c r="Q10" s="916">
        <f t="shared" si="6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1"/>
        <v>905306.75</v>
      </c>
      <c r="I11" s="220">
        <f t="shared" si="2"/>
        <v>142933.583333333</v>
      </c>
      <c r="J11" s="916">
        <v>60989.8533333333</v>
      </c>
      <c r="K11" s="916">
        <f t="shared" si="3"/>
        <v>72424.54</v>
      </c>
      <c r="L11" s="916">
        <f t="shared" si="0"/>
        <v>11434.6866666667</v>
      </c>
      <c r="M11" s="916">
        <v>10293.3979166667</v>
      </c>
      <c r="N11" s="916">
        <f>0.025*F11</f>
        <v>13866.7375</v>
      </c>
      <c r="O11" s="916">
        <f t="shared" si="4"/>
        <v>3573.3395833333</v>
      </c>
      <c r="P11" s="916">
        <f t="shared" si="5"/>
        <v>869094.48</v>
      </c>
      <c r="Q11" s="916">
        <f t="shared" si="6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207</v>
      </c>
      <c r="E12" s="85">
        <v>716034</v>
      </c>
      <c r="F12" s="909">
        <f>'[19] FGN 2024 MGT Monthly'!$I$44</f>
        <v>539028</v>
      </c>
      <c r="G12" s="85">
        <f>'[19]Peculiar Allowance'!$I$44</f>
        <v>339980.916666667</v>
      </c>
      <c r="H12" s="220">
        <f t="shared" si="1"/>
        <v>879008.916666667</v>
      </c>
      <c r="I12" s="220">
        <f t="shared" si="2"/>
        <v>162974.916666667</v>
      </c>
      <c r="J12" s="916">
        <v>59136.2866666667</v>
      </c>
      <c r="K12" s="916">
        <f t="shared" si="3"/>
        <v>70320.7133333333</v>
      </c>
      <c r="L12" s="916">
        <f t="shared" si="0"/>
        <v>11184.4266666666</v>
      </c>
      <c r="M12" s="916">
        <v>10293.3979166667</v>
      </c>
      <c r="N12" s="916">
        <f>0.025*F12</f>
        <v>13475.7</v>
      </c>
      <c r="O12" s="916">
        <f t="shared" si="4"/>
        <v>3182.3020833333</v>
      </c>
      <c r="P12" s="916">
        <f t="shared" si="5"/>
        <v>843848.56</v>
      </c>
      <c r="Q12" s="916">
        <f t="shared" si="6"/>
        <v>161708.4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49</v>
      </c>
      <c r="E13" s="85">
        <v>601396.833333333</v>
      </c>
      <c r="F13" s="909">
        <v>445995.833333333</v>
      </c>
      <c r="G13" s="85">
        <v>276599.666666667</v>
      </c>
      <c r="H13" s="220">
        <f t="shared" si="1"/>
        <v>722595.5</v>
      </c>
      <c r="I13" s="220">
        <f t="shared" si="2"/>
        <v>121198.666666667</v>
      </c>
      <c r="J13" s="916">
        <v>46569.4466666667</v>
      </c>
      <c r="K13" s="916">
        <f t="shared" si="3"/>
        <v>57807.64</v>
      </c>
      <c r="L13" s="916">
        <f t="shared" si="0"/>
        <v>11238.1933333333</v>
      </c>
      <c r="M13" s="916">
        <v>7859.63125</v>
      </c>
      <c r="N13" s="916">
        <f>0.025*F13</f>
        <v>11149.8958333333</v>
      </c>
      <c r="O13" s="916">
        <f t="shared" si="4"/>
        <v>3290.2645833333</v>
      </c>
      <c r="P13" s="916">
        <f t="shared" si="5"/>
        <v>693691.68</v>
      </c>
      <c r="Q13" s="916">
        <f t="shared" si="6"/>
        <v>133798.75</v>
      </c>
    </row>
    <row r="14" customHeight="1" spans="1:17">
      <c r="A14" s="10">
        <v>7</v>
      </c>
      <c r="B14" s="11" t="s">
        <v>39</v>
      </c>
      <c r="C14" s="4" t="s">
        <v>547</v>
      </c>
      <c r="D14" s="15" t="s">
        <v>189</v>
      </c>
      <c r="E14" s="85">
        <v>484373.75</v>
      </c>
      <c r="F14" s="909">
        <v>366417.5</v>
      </c>
      <c r="G14" s="85">
        <v>223239.5</v>
      </c>
      <c r="H14" s="220">
        <f t="shared" si="1"/>
        <v>589657</v>
      </c>
      <c r="I14" s="220">
        <f t="shared" si="2"/>
        <v>105283.25</v>
      </c>
      <c r="J14" s="916">
        <v>38749.9</v>
      </c>
      <c r="K14" s="916">
        <f t="shared" si="3"/>
        <v>47172.56</v>
      </c>
      <c r="L14" s="916">
        <f t="shared" si="0"/>
        <v>8422.66</v>
      </c>
      <c r="M14" s="916"/>
      <c r="N14" s="916"/>
      <c r="O14" s="916">
        <f t="shared" si="4"/>
        <v>0</v>
      </c>
      <c r="P14" s="916">
        <f t="shared" si="5"/>
        <v>566070.72</v>
      </c>
      <c r="Q14" s="916">
        <f t="shared" si="6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49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1"/>
        <v>722595.5</v>
      </c>
      <c r="I15" s="220">
        <f t="shared" si="2"/>
        <v>121198.666666667</v>
      </c>
      <c r="J15" s="916">
        <v>46569.45</v>
      </c>
      <c r="K15" s="916">
        <f t="shared" si="3"/>
        <v>57807.64</v>
      </c>
      <c r="L15" s="916">
        <f t="shared" si="0"/>
        <v>11238.19</v>
      </c>
      <c r="M15" s="916"/>
      <c r="N15" s="916"/>
      <c r="O15" s="916">
        <f t="shared" si="4"/>
        <v>0</v>
      </c>
      <c r="P15" s="916">
        <f t="shared" si="5"/>
        <v>693691.68</v>
      </c>
      <c r="Q15" s="916">
        <f t="shared" si="6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212</v>
      </c>
      <c r="E16" s="85">
        <v>456622.25</v>
      </c>
      <c r="F16" s="909">
        <v>347715.916666667</v>
      </c>
      <c r="G16" s="85">
        <v>210449.333333333</v>
      </c>
      <c r="H16" s="220">
        <f t="shared" si="1"/>
        <v>558165.25</v>
      </c>
      <c r="I16" s="220">
        <f t="shared" si="2"/>
        <v>101543</v>
      </c>
      <c r="J16" s="916">
        <v>35419.72</v>
      </c>
      <c r="K16" s="916">
        <f t="shared" si="3"/>
        <v>44653.22</v>
      </c>
      <c r="L16" s="916">
        <f t="shared" si="0"/>
        <v>9233.5</v>
      </c>
      <c r="M16" s="916"/>
      <c r="N16" s="916"/>
      <c r="O16" s="916">
        <f t="shared" si="4"/>
        <v>0</v>
      </c>
      <c r="P16" s="916">
        <f t="shared" si="5"/>
        <v>535838.64</v>
      </c>
      <c r="Q16" s="916">
        <f t="shared" si="6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85">
        <v>267732.833333333</v>
      </c>
      <c r="H17" s="220">
        <f t="shared" si="1"/>
        <v>700713.916666666</v>
      </c>
      <c r="I17" s="220">
        <f t="shared" si="2"/>
        <v>118595.833333333</v>
      </c>
      <c r="J17" s="916">
        <v>46569.45</v>
      </c>
      <c r="K17" s="916">
        <f t="shared" si="3"/>
        <v>56057.1133333333</v>
      </c>
      <c r="L17" s="916">
        <f t="shared" si="0"/>
        <v>9487.66333333329</v>
      </c>
      <c r="M17" s="916"/>
      <c r="N17" s="916"/>
      <c r="O17" s="916">
        <f t="shared" si="4"/>
        <v>0</v>
      </c>
      <c r="P17" s="916">
        <f t="shared" si="5"/>
        <v>672685.359999999</v>
      </c>
      <c r="Q17" s="916">
        <f t="shared" si="6"/>
        <v>0</v>
      </c>
    </row>
    <row r="18" customHeight="1" spans="1:17">
      <c r="A18" s="10">
        <v>11</v>
      </c>
      <c r="B18" s="11" t="s">
        <v>50</v>
      </c>
      <c r="C18" s="12" t="s">
        <v>60</v>
      </c>
      <c r="D18" s="15" t="s">
        <v>55</v>
      </c>
      <c r="E18" s="85">
        <v>441804.916666667</v>
      </c>
      <c r="F18" s="909">
        <v>337730.833333333</v>
      </c>
      <c r="G18" s="85">
        <v>203620.5</v>
      </c>
      <c r="H18" s="220">
        <f t="shared" si="1"/>
        <v>541351.333333333</v>
      </c>
      <c r="I18" s="220">
        <f t="shared" si="2"/>
        <v>99546.416666666</v>
      </c>
      <c r="J18" s="916">
        <v>34313.2733333333</v>
      </c>
      <c r="K18" s="916">
        <f t="shared" si="3"/>
        <v>43308.1066666666</v>
      </c>
      <c r="L18" s="916">
        <f t="shared" si="0"/>
        <v>8994.83333333334</v>
      </c>
      <c r="M18" s="916"/>
      <c r="N18" s="916"/>
      <c r="O18" s="916">
        <f t="shared" si="4"/>
        <v>0</v>
      </c>
      <c r="P18" s="916">
        <f t="shared" si="5"/>
        <v>519697.28</v>
      </c>
      <c r="Q18" s="916">
        <f t="shared" si="6"/>
        <v>0</v>
      </c>
    </row>
    <row r="19" customHeight="1" spans="1:17">
      <c r="A19" s="10">
        <v>12</v>
      </c>
      <c r="B19" s="18" t="s">
        <v>53</v>
      </c>
      <c r="C19" s="4" t="s">
        <v>54</v>
      </c>
      <c r="D19" s="15" t="s">
        <v>548</v>
      </c>
      <c r="E19" s="85">
        <v>428915.916666667</v>
      </c>
      <c r="F19" s="909">
        <v>329044.916666667</v>
      </c>
      <c r="G19" s="85">
        <v>197680.166666667</v>
      </c>
      <c r="H19" s="220">
        <f t="shared" si="1"/>
        <v>526725.083333334</v>
      </c>
      <c r="I19" s="220">
        <f t="shared" si="2"/>
        <v>97809.166666667</v>
      </c>
      <c r="J19" s="916">
        <v>33282.1533333333</v>
      </c>
      <c r="K19" s="916">
        <f t="shared" si="3"/>
        <v>42138.0066666667</v>
      </c>
      <c r="L19" s="916">
        <f t="shared" si="0"/>
        <v>8855.85333333342</v>
      </c>
      <c r="M19" s="916">
        <v>5607.17708333333</v>
      </c>
      <c r="N19" s="916">
        <f t="shared" ref="N19:N23" si="7">0.025*F19</f>
        <v>8226.12291666667</v>
      </c>
      <c r="O19" s="916">
        <f t="shared" si="4"/>
        <v>2618.94583333334</v>
      </c>
      <c r="P19" s="916">
        <f t="shared" si="5"/>
        <v>505656.080000001</v>
      </c>
      <c r="Q19" s="916">
        <f t="shared" si="6"/>
        <v>98713.475</v>
      </c>
    </row>
    <row r="20" customHeight="1" spans="1:17">
      <c r="A20" s="10">
        <v>13</v>
      </c>
      <c r="B20" s="18" t="s">
        <v>56</v>
      </c>
      <c r="C20" s="4" t="s">
        <v>57</v>
      </c>
      <c r="D20" s="15" t="s">
        <v>503</v>
      </c>
      <c r="E20" s="676">
        <v>403138</v>
      </c>
      <c r="F20" s="909">
        <v>311673.25</v>
      </c>
      <c r="G20" s="85">
        <v>185799.5</v>
      </c>
      <c r="H20" s="220">
        <f t="shared" si="1"/>
        <v>497472.75</v>
      </c>
      <c r="I20" s="220">
        <f t="shared" si="2"/>
        <v>94334.75</v>
      </c>
      <c r="J20" s="916">
        <v>31219.9133333334</v>
      </c>
      <c r="K20" s="916">
        <f t="shared" si="3"/>
        <v>39797.82</v>
      </c>
      <c r="L20" s="916">
        <f t="shared" si="0"/>
        <v>8577.9066666666</v>
      </c>
      <c r="M20" s="916">
        <v>5967.30625</v>
      </c>
      <c r="N20" s="916">
        <f t="shared" si="7"/>
        <v>7791.83125</v>
      </c>
      <c r="O20" s="916">
        <f t="shared" si="4"/>
        <v>1824.525</v>
      </c>
      <c r="P20" s="916">
        <f t="shared" si="5"/>
        <v>477573.84</v>
      </c>
      <c r="Q20" s="916">
        <f t="shared" si="6"/>
        <v>93501.975</v>
      </c>
    </row>
    <row r="21" customHeight="1" spans="1:17">
      <c r="A21" s="10">
        <v>14</v>
      </c>
      <c r="B21" s="18" t="s">
        <v>59</v>
      </c>
      <c r="C21" s="4" t="s">
        <v>60</v>
      </c>
      <c r="D21" s="15" t="s">
        <v>503</v>
      </c>
      <c r="E21" s="676">
        <v>403138</v>
      </c>
      <c r="F21" s="909">
        <v>311673.25</v>
      </c>
      <c r="G21" s="85">
        <v>185799.5</v>
      </c>
      <c r="H21" s="220">
        <f t="shared" si="1"/>
        <v>497472.75</v>
      </c>
      <c r="I21" s="220">
        <f t="shared" si="2"/>
        <v>94334.75</v>
      </c>
      <c r="J21" s="916">
        <v>31219.9133333334</v>
      </c>
      <c r="K21" s="916">
        <f t="shared" si="3"/>
        <v>39797.82</v>
      </c>
      <c r="L21" s="916">
        <f t="shared" si="0"/>
        <v>8577.9066666666</v>
      </c>
      <c r="M21" s="916"/>
      <c r="N21" s="916"/>
      <c r="O21" s="916">
        <f t="shared" si="4"/>
        <v>0</v>
      </c>
      <c r="P21" s="916">
        <f t="shared" si="5"/>
        <v>477573.84</v>
      </c>
      <c r="Q21" s="916">
        <f t="shared" si="6"/>
        <v>0</v>
      </c>
    </row>
    <row r="22" customHeight="1" spans="1:17">
      <c r="A22" s="10">
        <v>15</v>
      </c>
      <c r="B22" s="11" t="s">
        <v>61</v>
      </c>
      <c r="C22" s="12" t="s">
        <v>549</v>
      </c>
      <c r="D22" s="15" t="s">
        <v>259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1"/>
        <v>496497.166666667</v>
      </c>
      <c r="I22" s="220">
        <f t="shared" si="2"/>
        <v>94219.166666667</v>
      </c>
      <c r="J22" s="916">
        <v>31206.92</v>
      </c>
      <c r="K22" s="916">
        <f t="shared" si="3"/>
        <v>39719.7733333334</v>
      </c>
      <c r="L22" s="916">
        <f t="shared" si="0"/>
        <v>8512.85333333336</v>
      </c>
      <c r="M22" s="916">
        <v>5257.5625</v>
      </c>
      <c r="N22" s="916">
        <f t="shared" si="7"/>
        <v>7777.36041666667</v>
      </c>
      <c r="O22" s="916">
        <f t="shared" si="4"/>
        <v>2519.79791666667</v>
      </c>
      <c r="P22" s="916">
        <f t="shared" si="5"/>
        <v>476637.28</v>
      </c>
      <c r="Q22" s="916">
        <f t="shared" si="6"/>
        <v>93328.325</v>
      </c>
    </row>
    <row r="23" ht="18.75" customHeight="1" spans="1:17">
      <c r="A23" s="10">
        <v>16</v>
      </c>
      <c r="B23" s="11" t="s">
        <v>64</v>
      </c>
      <c r="C23" s="12" t="s">
        <v>176</v>
      </c>
      <c r="D23" s="15" t="s">
        <v>170</v>
      </c>
      <c r="E23" s="85">
        <v>390086.5</v>
      </c>
      <c r="F23" s="909">
        <v>302878.666666667</v>
      </c>
      <c r="G23" s="85">
        <v>179784</v>
      </c>
      <c r="H23" s="220">
        <f t="shared" si="1"/>
        <v>482662.666666667</v>
      </c>
      <c r="I23" s="220">
        <f t="shared" si="2"/>
        <v>92576.166666667</v>
      </c>
      <c r="J23" s="916">
        <v>30231.6133333333</v>
      </c>
      <c r="K23" s="916">
        <f t="shared" si="3"/>
        <v>38613.0133333334</v>
      </c>
      <c r="L23" s="916">
        <f t="shared" si="0"/>
        <v>8381.40000000006</v>
      </c>
      <c r="M23" s="916"/>
      <c r="N23" s="916">
        <f t="shared" si="7"/>
        <v>7571.96666666667</v>
      </c>
      <c r="O23" s="916">
        <f t="shared" si="4"/>
        <v>7571.96666666667</v>
      </c>
      <c r="P23" s="916">
        <f t="shared" si="5"/>
        <v>463356.16</v>
      </c>
      <c r="Q23" s="916">
        <f t="shared" si="6"/>
        <v>90863.6000000001</v>
      </c>
    </row>
    <row r="24" customHeight="1" spans="1:17">
      <c r="A24" s="10">
        <v>17</v>
      </c>
      <c r="B24" s="14" t="s">
        <v>67</v>
      </c>
      <c r="C24" s="17" t="s">
        <v>68</v>
      </c>
      <c r="D24" s="10" t="s">
        <v>131</v>
      </c>
      <c r="E24" s="85">
        <v>365704</v>
      </c>
      <c r="F24" s="909">
        <v>286447.083333333</v>
      </c>
      <c r="G24" s="85">
        <v>168546.5</v>
      </c>
      <c r="H24" s="220">
        <f t="shared" si="1"/>
        <v>454993.583333333</v>
      </c>
      <c r="I24" s="220">
        <f t="shared" si="2"/>
        <v>89289.583333333</v>
      </c>
      <c r="J24" s="916">
        <v>28281</v>
      </c>
      <c r="K24" s="916">
        <f t="shared" si="3"/>
        <v>36399.4866666666</v>
      </c>
      <c r="L24" s="916">
        <f t="shared" si="0"/>
        <v>8118.48666666664</v>
      </c>
      <c r="M24" s="916"/>
      <c r="N24" s="916"/>
      <c r="O24" s="916">
        <f t="shared" si="4"/>
        <v>0</v>
      </c>
      <c r="P24" s="916">
        <f t="shared" si="5"/>
        <v>436793.84</v>
      </c>
      <c r="Q24" s="916">
        <f t="shared" si="6"/>
        <v>0</v>
      </c>
    </row>
    <row r="25" ht="21.6" customHeight="1" spans="1:17">
      <c r="A25" s="10">
        <v>18</v>
      </c>
      <c r="B25" s="11" t="s">
        <v>70</v>
      </c>
      <c r="C25" s="17" t="s">
        <v>71</v>
      </c>
      <c r="D25" s="15" t="s">
        <v>131</v>
      </c>
      <c r="E25" s="85">
        <v>365704</v>
      </c>
      <c r="F25" s="909">
        <v>286447.083333333</v>
      </c>
      <c r="G25" s="85">
        <v>168546.5</v>
      </c>
      <c r="H25" s="220">
        <f t="shared" si="1"/>
        <v>454993.583333333</v>
      </c>
      <c r="I25" s="220">
        <f t="shared" si="2"/>
        <v>89289.583333333</v>
      </c>
      <c r="J25" s="916">
        <v>28281</v>
      </c>
      <c r="K25" s="916">
        <f t="shared" si="3"/>
        <v>36399.4866666666</v>
      </c>
      <c r="L25" s="916">
        <f t="shared" si="0"/>
        <v>8118.48666666664</v>
      </c>
      <c r="M25" s="916"/>
      <c r="N25" s="916"/>
      <c r="O25" s="916">
        <f t="shared" si="4"/>
        <v>0</v>
      </c>
      <c r="P25" s="916">
        <f t="shared" si="5"/>
        <v>436793.84</v>
      </c>
      <c r="Q25" s="916">
        <f t="shared" si="6"/>
        <v>0</v>
      </c>
    </row>
    <row r="26" customHeight="1" spans="1:17">
      <c r="A26" s="10">
        <v>19</v>
      </c>
      <c r="B26" s="14" t="s">
        <v>72</v>
      </c>
      <c r="C26" s="17" t="s">
        <v>73</v>
      </c>
      <c r="D26" s="10" t="s">
        <v>80</v>
      </c>
      <c r="E26" s="85">
        <v>293029.666666667</v>
      </c>
      <c r="F26" s="909">
        <v>240874.583333333</v>
      </c>
      <c r="G26" s="85">
        <v>140266.083333333</v>
      </c>
      <c r="H26" s="220">
        <f t="shared" si="1"/>
        <v>381140.666666666</v>
      </c>
      <c r="I26" s="220">
        <f t="shared" si="2"/>
        <v>88110.999999999</v>
      </c>
      <c r="J26" s="916">
        <v>23442.3733333333</v>
      </c>
      <c r="K26" s="916">
        <f t="shared" si="3"/>
        <v>30491.2533333333</v>
      </c>
      <c r="L26" s="916">
        <f t="shared" si="0"/>
        <v>7048.87999999998</v>
      </c>
      <c r="M26" s="916"/>
      <c r="N26" s="916"/>
      <c r="O26" s="916">
        <f t="shared" si="4"/>
        <v>0</v>
      </c>
      <c r="P26" s="916">
        <f t="shared" si="5"/>
        <v>365895.039999999</v>
      </c>
      <c r="Q26" s="916">
        <f t="shared" si="6"/>
        <v>0</v>
      </c>
    </row>
    <row r="27" customHeight="1" spans="1:17">
      <c r="A27" s="10">
        <v>20</v>
      </c>
      <c r="B27" s="14" t="s">
        <v>75</v>
      </c>
      <c r="C27" s="17" t="s">
        <v>76</v>
      </c>
      <c r="D27" s="10" t="s">
        <v>74</v>
      </c>
      <c r="E27" s="85">
        <v>300965.583333333</v>
      </c>
      <c r="F27" s="909">
        <v>240874.583333333</v>
      </c>
      <c r="G27" s="85">
        <v>140266.083333333</v>
      </c>
      <c r="H27" s="220">
        <f t="shared" si="1"/>
        <v>381140.666666666</v>
      </c>
      <c r="I27" s="220">
        <f t="shared" si="2"/>
        <v>80175.083333333</v>
      </c>
      <c r="J27" s="916">
        <v>23442.3733333334</v>
      </c>
      <c r="K27" s="916">
        <f t="shared" si="3"/>
        <v>30491.2533333333</v>
      </c>
      <c r="L27" s="916">
        <f t="shared" si="0"/>
        <v>7048.87999999988</v>
      </c>
      <c r="M27" s="916"/>
      <c r="N27" s="916">
        <f>0.025*F27</f>
        <v>6021.86458333332</v>
      </c>
      <c r="O27" s="916">
        <f t="shared" si="4"/>
        <v>6021.86458333332</v>
      </c>
      <c r="P27" s="916">
        <f t="shared" si="5"/>
        <v>365895.039999999</v>
      </c>
      <c r="Q27" s="916">
        <f t="shared" si="6"/>
        <v>72262.3749999999</v>
      </c>
    </row>
    <row r="28" ht="18.75" customHeight="1" spans="1:17">
      <c r="A28" s="10">
        <v>21</v>
      </c>
      <c r="B28" s="4" t="s">
        <v>485</v>
      </c>
      <c r="C28" s="4" t="s">
        <v>94</v>
      </c>
      <c r="D28" s="10" t="s">
        <v>85</v>
      </c>
      <c r="E28" s="85">
        <v>277798</v>
      </c>
      <c r="F28" s="909">
        <v>227615.75</v>
      </c>
      <c r="G28" s="85">
        <v>127704.916666667</v>
      </c>
      <c r="H28" s="220">
        <f t="shared" si="1"/>
        <v>355320.666666667</v>
      </c>
      <c r="I28" s="220">
        <f t="shared" si="2"/>
        <v>77522.666666667</v>
      </c>
      <c r="J28" s="916">
        <v>21638.5333333333</v>
      </c>
      <c r="K28" s="916">
        <f t="shared" si="3"/>
        <v>28425.6533333334</v>
      </c>
      <c r="L28" s="916">
        <f t="shared" si="0"/>
        <v>6787.12000000006</v>
      </c>
      <c r="M28" s="916"/>
      <c r="N28" s="916">
        <f>0.025*F28</f>
        <v>5690.39375</v>
      </c>
      <c r="O28" s="916">
        <f t="shared" si="4"/>
        <v>5690.39375</v>
      </c>
      <c r="P28" s="916">
        <f t="shared" si="5"/>
        <v>341107.84</v>
      </c>
      <c r="Q28" s="916">
        <f t="shared" si="6"/>
        <v>68284.725</v>
      </c>
    </row>
    <row r="29" ht="18.75" customHeight="1" spans="1:17">
      <c r="A29" s="10">
        <v>22</v>
      </c>
      <c r="B29" s="18" t="s">
        <v>78</v>
      </c>
      <c r="C29" s="12" t="s">
        <v>94</v>
      </c>
      <c r="D29" s="15" t="s">
        <v>85</v>
      </c>
      <c r="E29" s="85">
        <v>277798</v>
      </c>
      <c r="F29" s="909">
        <v>227615.75</v>
      </c>
      <c r="G29" s="85">
        <v>127704.916666667</v>
      </c>
      <c r="H29" s="220">
        <f t="shared" si="1"/>
        <v>355320.666666667</v>
      </c>
      <c r="I29" s="220">
        <f t="shared" si="2"/>
        <v>77522.666666667</v>
      </c>
      <c r="J29" s="916">
        <v>21638.5333333333</v>
      </c>
      <c r="K29" s="916">
        <f t="shared" si="3"/>
        <v>28425.6533333334</v>
      </c>
      <c r="L29" s="916">
        <f t="shared" si="0"/>
        <v>6787.12000000006</v>
      </c>
      <c r="M29" s="916"/>
      <c r="N29" s="916">
        <f>0.025*F29</f>
        <v>5690.39375</v>
      </c>
      <c r="O29" s="916">
        <f t="shared" si="4"/>
        <v>5690.39375</v>
      </c>
      <c r="P29" s="916">
        <f t="shared" si="5"/>
        <v>341107.84</v>
      </c>
      <c r="Q29" s="916">
        <f t="shared" si="6"/>
        <v>68284.725</v>
      </c>
    </row>
    <row r="30" customHeight="1" spans="1:17">
      <c r="A30" s="10">
        <v>23</v>
      </c>
      <c r="B30" s="11" t="s">
        <v>81</v>
      </c>
      <c r="C30" s="17" t="s">
        <v>68</v>
      </c>
      <c r="D30" s="10" t="s">
        <v>85</v>
      </c>
      <c r="E30" s="85">
        <v>277798</v>
      </c>
      <c r="F30" s="909">
        <v>227615.75</v>
      </c>
      <c r="G30" s="85">
        <v>127704.916666667</v>
      </c>
      <c r="H30" s="220">
        <f t="shared" si="1"/>
        <v>355320.666666667</v>
      </c>
      <c r="I30" s="220">
        <f t="shared" si="2"/>
        <v>77522.666666667</v>
      </c>
      <c r="J30" s="916">
        <v>21638.5333333333</v>
      </c>
      <c r="K30" s="916">
        <f t="shared" si="3"/>
        <v>28425.6533333334</v>
      </c>
      <c r="L30" s="916">
        <f t="shared" si="0"/>
        <v>6787.12000000006</v>
      </c>
      <c r="M30" s="916"/>
      <c r="N30" s="916"/>
      <c r="O30" s="916">
        <f t="shared" si="4"/>
        <v>0</v>
      </c>
      <c r="P30" s="916">
        <f t="shared" si="5"/>
        <v>341107.84</v>
      </c>
      <c r="Q30" s="916">
        <f t="shared" si="6"/>
        <v>0</v>
      </c>
    </row>
    <row r="31" ht="18.75" customHeight="1" spans="1:17">
      <c r="A31" s="10">
        <v>24</v>
      </c>
      <c r="B31" s="18" t="s">
        <v>83</v>
      </c>
      <c r="C31" s="12" t="s">
        <v>84</v>
      </c>
      <c r="D31" s="15" t="s">
        <v>88</v>
      </c>
      <c r="E31" s="85">
        <v>270481.666666667</v>
      </c>
      <c r="F31" s="909">
        <v>222674.583333333</v>
      </c>
      <c r="G31" s="85">
        <v>124341.583333333</v>
      </c>
      <c r="H31" s="220">
        <f t="shared" si="1"/>
        <v>347016.166666666</v>
      </c>
      <c r="I31" s="220">
        <f t="shared" si="2"/>
        <v>76534.499999999</v>
      </c>
      <c r="J31" s="916">
        <v>21053.2266666667</v>
      </c>
      <c r="K31" s="916">
        <f t="shared" si="3"/>
        <v>27761.2933333333</v>
      </c>
      <c r="L31" s="916">
        <f t="shared" si="0"/>
        <v>6708.06666666658</v>
      </c>
      <c r="M31" s="916"/>
      <c r="N31" s="916"/>
      <c r="O31" s="916">
        <f t="shared" si="4"/>
        <v>0</v>
      </c>
      <c r="P31" s="916">
        <f t="shared" si="5"/>
        <v>333135.519999999</v>
      </c>
      <c r="Q31" s="916">
        <f t="shared" si="6"/>
        <v>0</v>
      </c>
    </row>
    <row r="32" ht="18.75" customHeight="1" spans="1:17">
      <c r="A32" s="10">
        <v>25</v>
      </c>
      <c r="B32" s="18" t="s">
        <v>86</v>
      </c>
      <c r="C32" s="4" t="s">
        <v>87</v>
      </c>
      <c r="D32" s="10" t="s">
        <v>99</v>
      </c>
      <c r="E32" s="85">
        <v>263165.333333333</v>
      </c>
      <c r="F32" s="909">
        <v>217733.416666667</v>
      </c>
      <c r="G32" s="85">
        <v>120978.25</v>
      </c>
      <c r="H32" s="220">
        <f t="shared" si="1"/>
        <v>338711.666666667</v>
      </c>
      <c r="I32" s="220">
        <f t="shared" si="2"/>
        <v>75546.333333334</v>
      </c>
      <c r="J32" s="916">
        <v>20467.92</v>
      </c>
      <c r="K32" s="916">
        <f t="shared" si="3"/>
        <v>27096.9333333334</v>
      </c>
      <c r="L32" s="916">
        <f t="shared" si="0"/>
        <v>6629.01333333336</v>
      </c>
      <c r="M32" s="916"/>
      <c r="N32" s="916"/>
      <c r="O32" s="916">
        <f t="shared" si="4"/>
        <v>0</v>
      </c>
      <c r="P32" s="916">
        <f t="shared" si="5"/>
        <v>325163.2</v>
      </c>
      <c r="Q32" s="916">
        <f t="shared" si="6"/>
        <v>0</v>
      </c>
    </row>
    <row r="33" ht="18.75" customHeight="1" spans="1:17">
      <c r="A33" s="10">
        <v>26</v>
      </c>
      <c r="B33" s="18" t="s">
        <v>89</v>
      </c>
      <c r="C33" s="4" t="s">
        <v>87</v>
      </c>
      <c r="D33" s="10" t="s">
        <v>99</v>
      </c>
      <c r="E33" s="85">
        <v>263165.333333333</v>
      </c>
      <c r="F33" s="909">
        <v>217733.416666667</v>
      </c>
      <c r="G33" s="85">
        <v>120978.25</v>
      </c>
      <c r="H33" s="220">
        <f t="shared" si="1"/>
        <v>338711.666666667</v>
      </c>
      <c r="I33" s="220">
        <f t="shared" si="2"/>
        <v>75546.333333334</v>
      </c>
      <c r="J33" s="916">
        <v>20467.92</v>
      </c>
      <c r="K33" s="916">
        <f t="shared" si="3"/>
        <v>27096.9333333334</v>
      </c>
      <c r="L33" s="916">
        <f t="shared" si="0"/>
        <v>6629.01333333336</v>
      </c>
      <c r="M33" s="916"/>
      <c r="N33" s="916"/>
      <c r="O33" s="916">
        <f t="shared" si="4"/>
        <v>0</v>
      </c>
      <c r="P33" s="916">
        <f t="shared" si="5"/>
        <v>325163.2</v>
      </c>
      <c r="Q33" s="916">
        <f t="shared" si="6"/>
        <v>0</v>
      </c>
    </row>
    <row r="34" ht="18.75" customHeight="1" spans="1:17">
      <c r="A34" s="10">
        <v>27</v>
      </c>
      <c r="B34" s="18" t="s">
        <v>91</v>
      </c>
      <c r="C34" s="17" t="s">
        <v>550</v>
      </c>
      <c r="D34" s="15" t="s">
        <v>85</v>
      </c>
      <c r="E34" s="85">
        <v>277798</v>
      </c>
      <c r="F34" s="909">
        <v>227615.75</v>
      </c>
      <c r="G34" s="85">
        <v>127704.916666667</v>
      </c>
      <c r="H34" s="220">
        <f t="shared" si="1"/>
        <v>355320.666666667</v>
      </c>
      <c r="I34" s="220">
        <f t="shared" si="2"/>
        <v>77522.666666667</v>
      </c>
      <c r="J34" s="916">
        <v>21638.5333333333</v>
      </c>
      <c r="K34" s="916">
        <f t="shared" si="3"/>
        <v>28425.6533333334</v>
      </c>
      <c r="L34" s="916">
        <f t="shared" si="0"/>
        <v>6787.12000000006</v>
      </c>
      <c r="M34" s="916">
        <v>3653.5</v>
      </c>
      <c r="N34" s="916">
        <f t="shared" ref="N34:N38" si="8">0.025*F34</f>
        <v>5690.39375</v>
      </c>
      <c r="O34" s="916">
        <f t="shared" si="4"/>
        <v>2036.89375</v>
      </c>
      <c r="P34" s="916">
        <f t="shared" si="5"/>
        <v>341107.84</v>
      </c>
      <c r="Q34" s="916">
        <f t="shared" si="6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09">
        <v>217733.416666667</v>
      </c>
      <c r="G35" s="85">
        <v>120978.25</v>
      </c>
      <c r="H35" s="220">
        <f t="shared" si="1"/>
        <v>338711.666666667</v>
      </c>
      <c r="I35" s="220">
        <f t="shared" si="2"/>
        <v>75546.333333334</v>
      </c>
      <c r="J35" s="916">
        <v>20467.92</v>
      </c>
      <c r="K35" s="916">
        <f t="shared" si="3"/>
        <v>27096.9333333334</v>
      </c>
      <c r="L35" s="916">
        <f t="shared" si="0"/>
        <v>6629.01333333336</v>
      </c>
      <c r="M35" s="916"/>
      <c r="N35" s="916"/>
      <c r="O35" s="916">
        <f t="shared" si="4"/>
        <v>0</v>
      </c>
      <c r="P35" s="916">
        <f t="shared" si="5"/>
        <v>325163.2</v>
      </c>
      <c r="Q35" s="916">
        <f t="shared" si="6"/>
        <v>0</v>
      </c>
    </row>
    <row r="36" ht="18.75" customHeight="1" spans="1:17">
      <c r="A36" s="10">
        <v>29</v>
      </c>
      <c r="B36" s="18" t="s">
        <v>95</v>
      </c>
      <c r="C36" s="4" t="s">
        <v>551</v>
      </c>
      <c r="D36" s="10" t="s">
        <v>99</v>
      </c>
      <c r="E36" s="85">
        <v>263165.333333333</v>
      </c>
      <c r="F36" s="909">
        <v>217733.416666667</v>
      </c>
      <c r="G36" s="85">
        <v>120978.25</v>
      </c>
      <c r="H36" s="220">
        <f t="shared" si="1"/>
        <v>338711.666666667</v>
      </c>
      <c r="I36" s="220">
        <f t="shared" si="2"/>
        <v>75546.333333334</v>
      </c>
      <c r="J36" s="916">
        <v>20467.92</v>
      </c>
      <c r="K36" s="916">
        <f t="shared" si="3"/>
        <v>27096.9333333334</v>
      </c>
      <c r="L36" s="916">
        <f t="shared" si="0"/>
        <v>6629.01333333336</v>
      </c>
      <c r="M36" s="916"/>
      <c r="N36" s="916"/>
      <c r="O36" s="916">
        <f t="shared" si="4"/>
        <v>0</v>
      </c>
      <c r="P36" s="916">
        <f t="shared" si="5"/>
        <v>325163.2</v>
      </c>
      <c r="Q36" s="916">
        <f t="shared" si="6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09">
        <v>196364.416666667</v>
      </c>
      <c r="G37" s="85">
        <v>105546.333333333</v>
      </c>
      <c r="H37" s="220">
        <f t="shared" si="1"/>
        <v>301910.75</v>
      </c>
      <c r="I37" s="220">
        <f t="shared" si="2"/>
        <v>71278.833333333</v>
      </c>
      <c r="J37" s="916">
        <v>17956.78</v>
      </c>
      <c r="K37" s="916">
        <f t="shared" si="3"/>
        <v>24152.86</v>
      </c>
      <c r="L37" s="916">
        <f t="shared" si="0"/>
        <v>6196.08</v>
      </c>
      <c r="M37" s="916"/>
      <c r="N37" s="916">
        <f t="shared" si="8"/>
        <v>4909.11041666668</v>
      </c>
      <c r="O37" s="916">
        <f t="shared" si="4"/>
        <v>4909.11041666668</v>
      </c>
      <c r="P37" s="916">
        <f t="shared" si="5"/>
        <v>289834.32</v>
      </c>
      <c r="Q37" s="916">
        <f t="shared" si="6"/>
        <v>58909.3250000001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76">
        <v>224459.75</v>
      </c>
      <c r="F38" s="909">
        <v>192179.416666667</v>
      </c>
      <c r="G38" s="85">
        <v>102721.416666667</v>
      </c>
      <c r="H38" s="220">
        <f t="shared" si="1"/>
        <v>294900.833333334</v>
      </c>
      <c r="I38" s="220">
        <f t="shared" si="2"/>
        <v>70441.083333334</v>
      </c>
      <c r="J38" s="916">
        <v>17463.0066666666</v>
      </c>
      <c r="K38" s="916">
        <f t="shared" si="3"/>
        <v>23592.0666666667</v>
      </c>
      <c r="L38" s="916">
        <f t="shared" si="0"/>
        <v>6129.06000000012</v>
      </c>
      <c r="M38" s="916"/>
      <c r="N38" s="916">
        <f t="shared" si="8"/>
        <v>4804.48541666668</v>
      </c>
      <c r="O38" s="916">
        <f t="shared" si="4"/>
        <v>4804.48541666668</v>
      </c>
      <c r="P38" s="916">
        <f t="shared" si="5"/>
        <v>283104.800000001</v>
      </c>
      <c r="Q38" s="916">
        <f t="shared" si="6"/>
        <v>57653.8250000001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10680273.5</v>
      </c>
      <c r="G39" s="221">
        <f t="shared" si="9"/>
        <v>6613927.25</v>
      </c>
      <c r="H39" s="221">
        <f t="shared" si="9"/>
        <v>17294200.75</v>
      </c>
      <c r="I39" s="221">
        <f t="shared" si="9"/>
        <v>3221197.083</v>
      </c>
      <c r="J39" s="221">
        <f t="shared" si="9"/>
        <v>914813.32</v>
      </c>
      <c r="K39" s="221">
        <f t="shared" si="9"/>
        <v>1153420.55333333</v>
      </c>
      <c r="L39" s="221">
        <f t="shared" si="9"/>
        <v>238607.233333334</v>
      </c>
      <c r="M39" s="221">
        <f t="shared" si="9"/>
        <v>48931.9729166667</v>
      </c>
      <c r="N39" s="221">
        <f t="shared" si="9"/>
        <v>102666.25625</v>
      </c>
      <c r="O39" s="221">
        <f t="shared" si="9"/>
        <v>53734.2833333333</v>
      </c>
      <c r="P39" s="221">
        <f t="shared" si="9"/>
        <v>13841046.64</v>
      </c>
      <c r="Q39" s="221">
        <f t="shared" si="9"/>
        <v>1231995.075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121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09">
        <v>1086777.08333333</v>
      </c>
      <c r="G42" s="220">
        <v>660329.333333333</v>
      </c>
      <c r="H42" s="911">
        <f>F42+G42</f>
        <v>1747106.41666666</v>
      </c>
      <c r="I42" s="220">
        <f t="shared" ref="I41:I72" si="10">H42-E42</f>
        <v>311386.41666666</v>
      </c>
      <c r="J42" s="916">
        <v>114857.6</v>
      </c>
      <c r="K42" s="916">
        <f t="shared" ref="K41:K72" si="11">H42*0.08</f>
        <v>139768.513333333</v>
      </c>
      <c r="L42" s="916">
        <f t="shared" ref="L40:L71" si="12">K42-J42</f>
        <v>24910.913333333</v>
      </c>
      <c r="M42" s="916"/>
      <c r="N42" s="916"/>
      <c r="O42" s="916">
        <f t="shared" ref="O41:O72" si="13">N42-M42</f>
        <v>0</v>
      </c>
      <c r="P42" s="916">
        <f>K42*12</f>
        <v>1677222.16</v>
      </c>
      <c r="Q42" s="916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74</v>
      </c>
      <c r="E43" s="85">
        <v>300965.583333333</v>
      </c>
      <c r="F43" s="909">
        <v>240874.583333333</v>
      </c>
      <c r="G43" s="220">
        <v>140266.083333333</v>
      </c>
      <c r="H43" s="911">
        <f>F43+G43</f>
        <v>381140.666666666</v>
      </c>
      <c r="I43" s="220">
        <f t="shared" si="10"/>
        <v>80175.083333333</v>
      </c>
      <c r="J43" s="916">
        <v>23442.3733333333</v>
      </c>
      <c r="K43" s="916">
        <f t="shared" si="11"/>
        <v>30491.2533333333</v>
      </c>
      <c r="L43" s="916">
        <f t="shared" si="12"/>
        <v>7048.88</v>
      </c>
      <c r="M43" s="916"/>
      <c r="N43" s="916">
        <f>0.025*F43</f>
        <v>6021.86458333332</v>
      </c>
      <c r="O43" s="916">
        <f t="shared" si="13"/>
        <v>6021.86458333332</v>
      </c>
      <c r="P43" s="916">
        <f>K43*12</f>
        <v>365895.04</v>
      </c>
      <c r="Q43" s="916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77</v>
      </c>
      <c r="E44" s="85">
        <v>308901.5</v>
      </c>
      <c r="F44" s="909">
        <v>246171.166666667</v>
      </c>
      <c r="G44" s="220">
        <v>143964.666666667</v>
      </c>
      <c r="H44" s="911">
        <f>F44+G44</f>
        <v>390135.833333334</v>
      </c>
      <c r="I44" s="220">
        <f t="shared" si="10"/>
        <v>81234.333333334</v>
      </c>
      <c r="J44" s="916">
        <v>24077.2466666667</v>
      </c>
      <c r="K44" s="916">
        <f t="shared" si="11"/>
        <v>31210.8666666667</v>
      </c>
      <c r="L44" s="916">
        <f t="shared" si="12"/>
        <v>7133.62</v>
      </c>
      <c r="M44" s="916"/>
      <c r="N44" s="916"/>
      <c r="O44" s="916">
        <f t="shared" si="13"/>
        <v>0</v>
      </c>
      <c r="P44" s="916">
        <f>K44*12</f>
        <v>374530.4</v>
      </c>
      <c r="Q44" s="916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76">
        <v>263165.333333333</v>
      </c>
      <c r="F45" s="909">
        <v>217733.416666667</v>
      </c>
      <c r="G45" s="220">
        <v>120978.25</v>
      </c>
      <c r="H45" s="911">
        <f>F45+G45</f>
        <v>338711.666666667</v>
      </c>
      <c r="I45" s="220">
        <f t="shared" si="10"/>
        <v>75546.333333334</v>
      </c>
      <c r="J45" s="916">
        <v>20467.92</v>
      </c>
      <c r="K45" s="916">
        <f t="shared" si="11"/>
        <v>27096.9333333334</v>
      </c>
      <c r="L45" s="916">
        <f t="shared" si="12"/>
        <v>6629.0133333334</v>
      </c>
      <c r="M45" s="916"/>
      <c r="N45" s="916">
        <f>0.025*F45</f>
        <v>5443.33541666668</v>
      </c>
      <c r="O45" s="916">
        <f t="shared" si="13"/>
        <v>5443.33541666668</v>
      </c>
      <c r="P45" s="916">
        <f>K45*12</f>
        <v>325163.200000001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4">SUM(E42:E45)</f>
        <v>2308752.41666667</v>
      </c>
      <c r="F46" s="910">
        <f t="shared" si="14"/>
        <v>1791556.25</v>
      </c>
      <c r="G46" s="221">
        <f t="shared" si="14"/>
        <v>1065538.33333333</v>
      </c>
      <c r="H46" s="221">
        <f t="shared" si="14"/>
        <v>2857094.58333333</v>
      </c>
      <c r="I46" s="221">
        <f t="shared" si="14"/>
        <v>548342.166666661</v>
      </c>
      <c r="J46" s="221">
        <f t="shared" si="14"/>
        <v>182845.14</v>
      </c>
      <c r="K46" s="221">
        <f t="shared" si="14"/>
        <v>228567.566666666</v>
      </c>
      <c r="L46" s="221">
        <f t="shared" si="14"/>
        <v>45722.4266666664</v>
      </c>
      <c r="M46" s="221">
        <f t="shared" si="14"/>
        <v>0</v>
      </c>
      <c r="N46" s="221">
        <f t="shared" si="14"/>
        <v>11465.2</v>
      </c>
      <c r="O46" s="221">
        <f t="shared" si="14"/>
        <v>11465.2</v>
      </c>
      <c r="P46" s="221">
        <f t="shared" si="14"/>
        <v>2742810.8</v>
      </c>
      <c r="Q46" s="221">
        <f t="shared" si="14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137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138</v>
      </c>
      <c r="C49" s="4" t="s">
        <v>552</v>
      </c>
      <c r="D49" s="10" t="s">
        <v>35</v>
      </c>
      <c r="E49" s="85">
        <v>762373.166666667</v>
      </c>
      <c r="F49" s="909">
        <v>554669.5</v>
      </c>
      <c r="G49" s="220">
        <v>350637.25</v>
      </c>
      <c r="H49" s="911">
        <f>F49+G49</f>
        <v>905306.75</v>
      </c>
      <c r="I49" s="220">
        <f t="shared" si="10"/>
        <v>142933.583333333</v>
      </c>
      <c r="J49" s="916">
        <v>59136.2866666667</v>
      </c>
      <c r="K49" s="916">
        <f t="shared" si="11"/>
        <v>72424.54</v>
      </c>
      <c r="L49" s="916">
        <f t="shared" si="12"/>
        <v>13288.2533333333</v>
      </c>
      <c r="M49" s="916"/>
      <c r="N49" s="916"/>
      <c r="O49" s="916">
        <f t="shared" si="13"/>
        <v>0</v>
      </c>
      <c r="P49" s="916">
        <f>K49*12</f>
        <v>869094.48</v>
      </c>
      <c r="Q49" s="916"/>
    </row>
    <row r="50" customHeight="1" spans="1:17">
      <c r="A50" s="10">
        <v>2</v>
      </c>
      <c r="B50" s="11" t="s">
        <v>141</v>
      </c>
      <c r="C50" s="4" t="s">
        <v>142</v>
      </c>
      <c r="D50" s="10" t="s">
        <v>38</v>
      </c>
      <c r="E50" s="85">
        <v>620675.583333333</v>
      </c>
      <c r="F50" s="909">
        <v>459010.5</v>
      </c>
      <c r="G50" s="220">
        <v>285466.5</v>
      </c>
      <c r="H50" s="911">
        <f t="shared" ref="H50:H56" si="15">F50+G50</f>
        <v>744477</v>
      </c>
      <c r="I50" s="220">
        <f t="shared" si="10"/>
        <v>123801.416666667</v>
      </c>
      <c r="J50" s="916">
        <v>49654.0466666667</v>
      </c>
      <c r="K50" s="916">
        <f t="shared" si="11"/>
        <v>59558.16</v>
      </c>
      <c r="L50" s="916">
        <f t="shared" si="12"/>
        <v>9904.11333333331</v>
      </c>
      <c r="M50" s="916"/>
      <c r="N50" s="916"/>
      <c r="O50" s="916">
        <f t="shared" si="13"/>
        <v>0</v>
      </c>
      <c r="P50" s="916">
        <f t="shared" ref="P50:P56" si="16">K50*12</f>
        <v>714697.92</v>
      </c>
      <c r="Q50" s="916"/>
    </row>
    <row r="51" customHeight="1" spans="1:17">
      <c r="A51" s="10">
        <v>3</v>
      </c>
      <c r="B51" s="11" t="s">
        <v>143</v>
      </c>
      <c r="C51" s="4" t="s">
        <v>142</v>
      </c>
      <c r="D51" s="10" t="s">
        <v>38</v>
      </c>
      <c r="E51" s="85">
        <v>620675.583333333</v>
      </c>
      <c r="F51" s="909">
        <v>459010.5</v>
      </c>
      <c r="G51" s="220">
        <v>285466.5</v>
      </c>
      <c r="H51" s="911">
        <f t="shared" si="15"/>
        <v>744477</v>
      </c>
      <c r="I51" s="220">
        <f t="shared" si="10"/>
        <v>123801.416666667</v>
      </c>
      <c r="J51" s="916">
        <v>49654.0466666667</v>
      </c>
      <c r="K51" s="916">
        <f t="shared" si="11"/>
        <v>59558.16</v>
      </c>
      <c r="L51" s="916">
        <f t="shared" si="12"/>
        <v>9904.11333333331</v>
      </c>
      <c r="M51" s="916">
        <v>8380.22708333333</v>
      </c>
      <c r="N51" s="916">
        <f>0.025*F51</f>
        <v>11475.2625</v>
      </c>
      <c r="O51" s="916">
        <f t="shared" si="13"/>
        <v>3095.03541666667</v>
      </c>
      <c r="P51" s="916">
        <f t="shared" si="16"/>
        <v>714697.92</v>
      </c>
      <c r="Q51" s="916">
        <f>N51*12</f>
        <v>137703.15</v>
      </c>
    </row>
    <row r="52" customHeight="1" spans="1:17">
      <c r="A52" s="10">
        <v>4</v>
      </c>
      <c r="B52" s="11" t="s">
        <v>144</v>
      </c>
      <c r="C52" s="4" t="s">
        <v>142</v>
      </c>
      <c r="D52" s="10" t="s">
        <v>49</v>
      </c>
      <c r="E52" s="85">
        <v>601396.833333333</v>
      </c>
      <c r="F52" s="909">
        <v>445995.833333333</v>
      </c>
      <c r="G52" s="220">
        <v>276599.666666667</v>
      </c>
      <c r="H52" s="911">
        <f t="shared" si="15"/>
        <v>722595.5</v>
      </c>
      <c r="I52" s="220">
        <f t="shared" si="10"/>
        <v>121198.666666667</v>
      </c>
      <c r="J52" s="916">
        <v>46569.4466666667</v>
      </c>
      <c r="K52" s="916">
        <f t="shared" si="11"/>
        <v>57807.64</v>
      </c>
      <c r="L52" s="916">
        <f t="shared" si="12"/>
        <v>11238.1933333333</v>
      </c>
      <c r="M52" s="916"/>
      <c r="N52" s="916"/>
      <c r="O52" s="916">
        <f t="shared" si="13"/>
        <v>0</v>
      </c>
      <c r="P52" s="916">
        <f t="shared" si="16"/>
        <v>693691.68</v>
      </c>
      <c r="Q52" s="916"/>
    </row>
    <row r="53" customHeight="1" spans="1:17">
      <c r="A53" s="10">
        <v>5</v>
      </c>
      <c r="B53" s="14" t="s">
        <v>145</v>
      </c>
      <c r="C53" s="4" t="s">
        <v>142</v>
      </c>
      <c r="D53" s="10" t="s">
        <v>41</v>
      </c>
      <c r="E53" s="85">
        <v>582118.083333333</v>
      </c>
      <c r="F53" s="909">
        <v>432981.083333333</v>
      </c>
      <c r="G53" s="220">
        <v>267732.833333333</v>
      </c>
      <c r="H53" s="911">
        <f t="shared" si="15"/>
        <v>700713.916666666</v>
      </c>
      <c r="I53" s="220">
        <f t="shared" si="10"/>
        <v>118595.833333333</v>
      </c>
      <c r="J53" s="916">
        <v>46569.45</v>
      </c>
      <c r="K53" s="916">
        <f t="shared" si="11"/>
        <v>56057.1133333333</v>
      </c>
      <c r="L53" s="916">
        <f t="shared" si="12"/>
        <v>9487.6633333333</v>
      </c>
      <c r="M53" s="916"/>
      <c r="N53" s="916"/>
      <c r="O53" s="916">
        <f t="shared" si="13"/>
        <v>0</v>
      </c>
      <c r="P53" s="916">
        <f t="shared" si="16"/>
        <v>672685.36</v>
      </c>
      <c r="Q53" s="916"/>
    </row>
    <row r="54" customHeight="1" spans="1:17">
      <c r="A54" s="10">
        <v>6</v>
      </c>
      <c r="B54" s="11" t="s">
        <v>149</v>
      </c>
      <c r="C54" s="4" t="s">
        <v>150</v>
      </c>
      <c r="D54" s="10" t="s">
        <v>77</v>
      </c>
      <c r="E54" s="85">
        <v>308901.5</v>
      </c>
      <c r="F54" s="909">
        <v>246171.166666667</v>
      </c>
      <c r="G54" s="220">
        <v>143964.666666667</v>
      </c>
      <c r="H54" s="911">
        <f t="shared" si="15"/>
        <v>390135.833333334</v>
      </c>
      <c r="I54" s="220">
        <f t="shared" si="10"/>
        <v>81234.333333334</v>
      </c>
      <c r="J54" s="916">
        <v>24077.2466666667</v>
      </c>
      <c r="K54" s="916">
        <f t="shared" si="11"/>
        <v>31210.8666666667</v>
      </c>
      <c r="L54" s="916">
        <f t="shared" si="12"/>
        <v>7133.62</v>
      </c>
      <c r="M54" s="916"/>
      <c r="N54" s="916"/>
      <c r="O54" s="916">
        <f t="shared" si="13"/>
        <v>0</v>
      </c>
      <c r="P54" s="916">
        <f t="shared" si="16"/>
        <v>374530.4</v>
      </c>
      <c r="Q54" s="916"/>
    </row>
    <row r="55" customHeight="1" spans="1:17">
      <c r="A55" s="10">
        <v>7</v>
      </c>
      <c r="B55" s="11" t="s">
        <v>153</v>
      </c>
      <c r="C55" s="4" t="s">
        <v>150</v>
      </c>
      <c r="D55" s="10" t="s">
        <v>88</v>
      </c>
      <c r="E55" s="85">
        <v>270481.666666667</v>
      </c>
      <c r="F55" s="909">
        <v>222674.583333333</v>
      </c>
      <c r="G55" s="220">
        <v>124341.583333333</v>
      </c>
      <c r="H55" s="911">
        <f t="shared" si="15"/>
        <v>347016.166666666</v>
      </c>
      <c r="I55" s="220">
        <f t="shared" si="10"/>
        <v>76534.499999999</v>
      </c>
      <c r="J55" s="916">
        <v>21053.2266666667</v>
      </c>
      <c r="K55" s="916">
        <f t="shared" si="11"/>
        <v>27761.2933333333</v>
      </c>
      <c r="L55" s="916">
        <f t="shared" si="12"/>
        <v>6708.0666666666</v>
      </c>
      <c r="M55" s="916"/>
      <c r="N55" s="916"/>
      <c r="O55" s="916">
        <f t="shared" si="13"/>
        <v>0</v>
      </c>
      <c r="P55" s="916">
        <f t="shared" si="16"/>
        <v>333135.52</v>
      </c>
      <c r="Q55" s="916"/>
    </row>
    <row r="56" customHeight="1" spans="1:17">
      <c r="A56" s="10">
        <v>8</v>
      </c>
      <c r="B56" s="11" t="s">
        <v>154</v>
      </c>
      <c r="C56" s="4" t="s">
        <v>150</v>
      </c>
      <c r="D56" s="10" t="s">
        <v>88</v>
      </c>
      <c r="E56" s="85">
        <v>270481.666666667</v>
      </c>
      <c r="F56" s="909">
        <v>222674.583333333</v>
      </c>
      <c r="G56" s="220">
        <v>124341.583333333</v>
      </c>
      <c r="H56" s="911">
        <f t="shared" si="15"/>
        <v>347016.166666666</v>
      </c>
      <c r="I56" s="220">
        <f t="shared" si="10"/>
        <v>76534.499999999</v>
      </c>
      <c r="J56" s="916">
        <v>21053.2266666667</v>
      </c>
      <c r="K56" s="916">
        <f t="shared" si="11"/>
        <v>27761.2933333333</v>
      </c>
      <c r="L56" s="916">
        <f t="shared" si="12"/>
        <v>6708.0666666666</v>
      </c>
      <c r="M56" s="916"/>
      <c r="N56" s="916"/>
      <c r="O56" s="916">
        <f t="shared" si="13"/>
        <v>0</v>
      </c>
      <c r="P56" s="916">
        <f t="shared" si="16"/>
        <v>333135.52</v>
      </c>
      <c r="Q56" s="916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17">SUM(E49:E56)</f>
        <v>4037104.08333333</v>
      </c>
      <c r="F57" s="912">
        <f t="shared" si="17"/>
        <v>3043187.75</v>
      </c>
      <c r="G57" s="93">
        <f t="shared" si="17"/>
        <v>1858550.58333333</v>
      </c>
      <c r="H57" s="93">
        <f t="shared" si="17"/>
        <v>4901738.33333333</v>
      </c>
      <c r="I57" s="93">
        <f t="shared" si="17"/>
        <v>864634.249999999</v>
      </c>
      <c r="J57" s="93">
        <f t="shared" si="17"/>
        <v>317766.976666667</v>
      </c>
      <c r="K57" s="93">
        <f t="shared" si="17"/>
        <v>392139.066666667</v>
      </c>
      <c r="L57" s="93">
        <f t="shared" si="17"/>
        <v>74372.0899999997</v>
      </c>
      <c r="M57" s="93">
        <f t="shared" si="17"/>
        <v>8380.22708333333</v>
      </c>
      <c r="N57" s="93">
        <f t="shared" si="17"/>
        <v>11475.2625</v>
      </c>
      <c r="O57" s="93">
        <f t="shared" si="17"/>
        <v>3095.03541666667</v>
      </c>
      <c r="P57" s="93">
        <f t="shared" si="17"/>
        <v>4705668.8</v>
      </c>
      <c r="Q57" s="93">
        <f t="shared" si="17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156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157</v>
      </c>
      <c r="C60" s="12" t="s">
        <v>158</v>
      </c>
      <c r="D60" s="15" t="s">
        <v>124</v>
      </c>
      <c r="E60" s="85">
        <v>1435720</v>
      </c>
      <c r="F60" s="909">
        <v>1086777.08333333</v>
      </c>
      <c r="G60" s="220">
        <v>660329.333333333</v>
      </c>
      <c r="H60" s="911">
        <f>F60+G60</f>
        <v>1747106.41666666</v>
      </c>
      <c r="I60" s="220">
        <f t="shared" si="10"/>
        <v>311386.41666666</v>
      </c>
      <c r="J60" s="916">
        <v>114857.6</v>
      </c>
      <c r="K60" s="916">
        <f t="shared" si="11"/>
        <v>139768.513333333</v>
      </c>
      <c r="L60" s="916">
        <f t="shared" si="12"/>
        <v>24910.913333333</v>
      </c>
      <c r="M60" s="916"/>
      <c r="N60" s="916"/>
      <c r="O60" s="916">
        <f t="shared" si="13"/>
        <v>0</v>
      </c>
      <c r="P60" s="916">
        <f>K60*12</f>
        <v>1677222.16</v>
      </c>
      <c r="Q60" s="916"/>
    </row>
    <row r="61" customHeight="1" spans="1:17">
      <c r="A61" s="10">
        <v>2</v>
      </c>
      <c r="B61" s="11" t="s">
        <v>159</v>
      </c>
      <c r="C61" s="12" t="s">
        <v>160</v>
      </c>
      <c r="D61" s="15" t="s">
        <v>161</v>
      </c>
      <c r="E61" s="85">
        <v>620675.583333333</v>
      </c>
      <c r="F61" s="909">
        <v>459010.5</v>
      </c>
      <c r="G61" s="220">
        <v>285466.5</v>
      </c>
      <c r="H61" s="911">
        <f>F61+G61</f>
        <v>744477</v>
      </c>
      <c r="I61" s="220">
        <f t="shared" si="10"/>
        <v>123801.416666667</v>
      </c>
      <c r="J61" s="916">
        <v>49654.0466666667</v>
      </c>
      <c r="K61" s="916">
        <f t="shared" si="11"/>
        <v>59558.16</v>
      </c>
      <c r="L61" s="916">
        <f t="shared" si="12"/>
        <v>9904.11333333331</v>
      </c>
      <c r="M61" s="916"/>
      <c r="N61" s="916"/>
      <c r="O61" s="916">
        <f t="shared" si="13"/>
        <v>0</v>
      </c>
      <c r="P61" s="916">
        <f>K61*12</f>
        <v>714697.92</v>
      </c>
      <c r="Q61" s="916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18">SUM(E60:E61)</f>
        <v>2056395.58333333</v>
      </c>
      <c r="F62" s="912">
        <f t="shared" si="18"/>
        <v>1545787.58333333</v>
      </c>
      <c r="G62" s="93">
        <f t="shared" si="18"/>
        <v>945795.833333333</v>
      </c>
      <c r="H62" s="93">
        <f t="shared" si="18"/>
        <v>2491583.41666666</v>
      </c>
      <c r="I62" s="93">
        <f t="shared" si="18"/>
        <v>435187.833333327</v>
      </c>
      <c r="J62" s="93">
        <f t="shared" si="18"/>
        <v>164511.646666667</v>
      </c>
      <c r="K62" s="93">
        <f t="shared" si="18"/>
        <v>199326.673333333</v>
      </c>
      <c r="L62" s="93">
        <f t="shared" si="18"/>
        <v>34815.0266666663</v>
      </c>
      <c r="M62" s="93">
        <f t="shared" si="18"/>
        <v>0</v>
      </c>
      <c r="N62" s="93">
        <f t="shared" si="18"/>
        <v>0</v>
      </c>
      <c r="O62" s="93">
        <f t="shared" si="18"/>
        <v>0</v>
      </c>
      <c r="P62" s="93">
        <f t="shared" si="18"/>
        <v>2391920.08</v>
      </c>
      <c r="Q62" s="93">
        <f t="shared" si="18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162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163</v>
      </c>
      <c r="C65" s="4" t="s">
        <v>164</v>
      </c>
      <c r="D65" s="10" t="s">
        <v>35</v>
      </c>
      <c r="E65" s="85">
        <v>762373.166666667</v>
      </c>
      <c r="F65" s="909">
        <v>554669.5</v>
      </c>
      <c r="G65" s="85">
        <v>350637.25</v>
      </c>
      <c r="H65" s="220">
        <f>F65+G65</f>
        <v>905306.75</v>
      </c>
      <c r="I65" s="220">
        <f t="shared" si="10"/>
        <v>142933.583333333</v>
      </c>
      <c r="J65" s="916">
        <v>60989.8533333333</v>
      </c>
      <c r="K65" s="916">
        <f t="shared" si="11"/>
        <v>72424.54</v>
      </c>
      <c r="L65" s="916">
        <f t="shared" si="12"/>
        <v>11434.6866666667</v>
      </c>
      <c r="M65" s="916">
        <v>10293.3979166667</v>
      </c>
      <c r="N65" s="916">
        <f>0.025*F65</f>
        <v>13866.7375</v>
      </c>
      <c r="O65" s="916">
        <f t="shared" si="13"/>
        <v>3573.3395833333</v>
      </c>
      <c r="P65" s="916">
        <f>K65*12</f>
        <v>869094.48</v>
      </c>
      <c r="Q65" s="916">
        <f>N65*12</f>
        <v>166400.85</v>
      </c>
    </row>
    <row r="66" customHeight="1" spans="1:17">
      <c r="A66" s="10">
        <v>2</v>
      </c>
      <c r="B66" s="11" t="s">
        <v>165</v>
      </c>
      <c r="C66" s="4" t="s">
        <v>51</v>
      </c>
      <c r="D66" s="10" t="s">
        <v>212</v>
      </c>
      <c r="E66" s="85">
        <v>456622.25</v>
      </c>
      <c r="F66" s="909">
        <v>347715.916666667</v>
      </c>
      <c r="G66" s="220">
        <v>210449.333333333</v>
      </c>
      <c r="H66" s="220">
        <f t="shared" ref="H66:H71" si="19">F66+G66</f>
        <v>558165.25</v>
      </c>
      <c r="I66" s="220">
        <f t="shared" si="10"/>
        <v>101543</v>
      </c>
      <c r="J66" s="916">
        <v>35419.72</v>
      </c>
      <c r="K66" s="916">
        <f t="shared" si="11"/>
        <v>44653.22</v>
      </c>
      <c r="L66" s="916">
        <f t="shared" si="12"/>
        <v>9233.5</v>
      </c>
      <c r="M66" s="916"/>
      <c r="N66" s="916"/>
      <c r="O66" s="916">
        <f t="shared" si="13"/>
        <v>0</v>
      </c>
      <c r="P66" s="916">
        <f t="shared" ref="P66:P71" si="20">K66*12</f>
        <v>535838.64</v>
      </c>
      <c r="Q66" s="916"/>
    </row>
    <row r="67" customHeight="1" spans="1:17">
      <c r="A67" s="10">
        <v>3</v>
      </c>
      <c r="B67" s="11" t="s">
        <v>169</v>
      </c>
      <c r="C67" s="4" t="s">
        <v>150</v>
      </c>
      <c r="D67" s="10" t="s">
        <v>69</v>
      </c>
      <c r="E67" s="85">
        <v>377895.166666667</v>
      </c>
      <c r="F67" s="909">
        <v>294662.916666667</v>
      </c>
      <c r="G67" s="220">
        <v>174165.25</v>
      </c>
      <c r="H67" s="220">
        <f t="shared" si="19"/>
        <v>468828.166666667</v>
      </c>
      <c r="I67" s="220">
        <f t="shared" si="10"/>
        <v>90933</v>
      </c>
      <c r="J67" s="916">
        <v>29256.3066666667</v>
      </c>
      <c r="K67" s="916">
        <f t="shared" si="11"/>
        <v>37506.2533333334</v>
      </c>
      <c r="L67" s="916">
        <f t="shared" si="12"/>
        <v>8249.94666666666</v>
      </c>
      <c r="M67" s="916"/>
      <c r="N67" s="916"/>
      <c r="O67" s="916">
        <f t="shared" si="13"/>
        <v>0</v>
      </c>
      <c r="P67" s="916">
        <f t="shared" si="20"/>
        <v>450075.040000001</v>
      </c>
      <c r="Q67" s="916"/>
    </row>
    <row r="68" customHeight="1" spans="1:17">
      <c r="A68" s="10">
        <v>4</v>
      </c>
      <c r="B68" s="11" t="s">
        <v>171</v>
      </c>
      <c r="C68" s="17" t="s">
        <v>71</v>
      </c>
      <c r="D68" s="10" t="s">
        <v>69</v>
      </c>
      <c r="E68" s="85">
        <v>377895.166666667</v>
      </c>
      <c r="F68" s="909">
        <v>294662.916666667</v>
      </c>
      <c r="G68" s="220">
        <v>174165.25</v>
      </c>
      <c r="H68" s="220">
        <f t="shared" si="19"/>
        <v>468828.166666667</v>
      </c>
      <c r="I68" s="220">
        <f t="shared" si="10"/>
        <v>90933</v>
      </c>
      <c r="J68" s="916">
        <v>29256.3066666667</v>
      </c>
      <c r="K68" s="916">
        <f t="shared" si="11"/>
        <v>37506.2533333334</v>
      </c>
      <c r="L68" s="916">
        <f t="shared" si="12"/>
        <v>8249.94666666666</v>
      </c>
      <c r="M68" s="916"/>
      <c r="N68" s="916"/>
      <c r="O68" s="916">
        <f t="shared" si="13"/>
        <v>0</v>
      </c>
      <c r="P68" s="916">
        <f t="shared" si="20"/>
        <v>450075.040000001</v>
      </c>
      <c r="Q68" s="916"/>
    </row>
    <row r="69" customHeight="1" spans="1:17">
      <c r="A69" s="10">
        <v>5</v>
      </c>
      <c r="B69" s="11" t="s">
        <v>172</v>
      </c>
      <c r="C69" s="17" t="s">
        <v>71</v>
      </c>
      <c r="D69" s="10" t="s">
        <v>69</v>
      </c>
      <c r="E69" s="85">
        <v>377895.166666667</v>
      </c>
      <c r="F69" s="909">
        <v>294662.916666667</v>
      </c>
      <c r="G69" s="220">
        <v>174165.25</v>
      </c>
      <c r="H69" s="220">
        <f t="shared" si="19"/>
        <v>468828.166666667</v>
      </c>
      <c r="I69" s="220">
        <f t="shared" si="10"/>
        <v>90933</v>
      </c>
      <c r="J69" s="916">
        <v>29256.3066666667</v>
      </c>
      <c r="K69" s="916">
        <f t="shared" si="11"/>
        <v>37506.2533333334</v>
      </c>
      <c r="L69" s="916">
        <f t="shared" si="12"/>
        <v>8249.94666666666</v>
      </c>
      <c r="M69" s="916"/>
      <c r="N69" s="916"/>
      <c r="O69" s="916">
        <f t="shared" si="13"/>
        <v>0</v>
      </c>
      <c r="P69" s="916">
        <f t="shared" si="20"/>
        <v>450075.040000001</v>
      </c>
      <c r="Q69" s="916"/>
    </row>
    <row r="70" customHeight="1" spans="1:17">
      <c r="A70" s="10">
        <v>6</v>
      </c>
      <c r="B70" s="11" t="s">
        <v>173</v>
      </c>
      <c r="C70" s="4" t="s">
        <v>553</v>
      </c>
      <c r="D70" s="10" t="s">
        <v>170</v>
      </c>
      <c r="E70" s="457">
        <v>390086.5</v>
      </c>
      <c r="F70" s="909">
        <v>302878.666666667</v>
      </c>
      <c r="G70" s="220">
        <v>179784</v>
      </c>
      <c r="H70" s="220">
        <f t="shared" si="19"/>
        <v>482662.666666667</v>
      </c>
      <c r="I70" s="220">
        <f t="shared" si="10"/>
        <v>92576.166666667</v>
      </c>
      <c r="J70" s="916">
        <v>30231.6133333333</v>
      </c>
      <c r="K70" s="916">
        <f t="shared" si="11"/>
        <v>38613.0133333334</v>
      </c>
      <c r="L70" s="916">
        <f t="shared" si="12"/>
        <v>8381.40000000006</v>
      </c>
      <c r="M70" s="916"/>
      <c r="N70" s="916"/>
      <c r="O70" s="916">
        <f t="shared" si="13"/>
        <v>0</v>
      </c>
      <c r="P70" s="916">
        <f t="shared" si="20"/>
        <v>463356.160000001</v>
      </c>
      <c r="Q70" s="916"/>
    </row>
    <row r="71" ht="21.6" customHeight="1" spans="1:17">
      <c r="A71" s="10">
        <v>7</v>
      </c>
      <c r="B71" s="11" t="s">
        <v>177</v>
      </c>
      <c r="C71" s="4" t="s">
        <v>150</v>
      </c>
      <c r="D71" s="10" t="s">
        <v>77</v>
      </c>
      <c r="E71" s="220">
        <v>308901.5</v>
      </c>
      <c r="F71" s="909">
        <v>246171.166666667</v>
      </c>
      <c r="G71" s="220">
        <v>143964.666666667</v>
      </c>
      <c r="H71" s="220">
        <f t="shared" si="19"/>
        <v>390135.833333334</v>
      </c>
      <c r="I71" s="220">
        <f t="shared" si="10"/>
        <v>81234.333333334</v>
      </c>
      <c r="J71" s="916">
        <v>24077.2466666667</v>
      </c>
      <c r="K71" s="916">
        <f t="shared" si="11"/>
        <v>31210.8666666667</v>
      </c>
      <c r="L71" s="916">
        <f t="shared" si="12"/>
        <v>7133.62000000002</v>
      </c>
      <c r="M71" s="916"/>
      <c r="N71" s="916">
        <f>0.025*F71</f>
        <v>6154.27916666668</v>
      </c>
      <c r="O71" s="916">
        <f t="shared" si="13"/>
        <v>6154.27916666668</v>
      </c>
      <c r="P71" s="916">
        <f t="shared" si="20"/>
        <v>374530.4</v>
      </c>
      <c r="Q71" s="916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21">SUM(E65:E71)</f>
        <v>3051668.91666667</v>
      </c>
      <c r="F72" s="912">
        <f t="shared" si="21"/>
        <v>2335424</v>
      </c>
      <c r="G72" s="93">
        <f t="shared" si="21"/>
        <v>1407331</v>
      </c>
      <c r="H72" s="93">
        <f t="shared" si="21"/>
        <v>3742755</v>
      </c>
      <c r="I72" s="93">
        <f t="shared" si="21"/>
        <v>691086.083333334</v>
      </c>
      <c r="J72" s="93">
        <f t="shared" si="21"/>
        <v>238487.353333333</v>
      </c>
      <c r="K72" s="93">
        <f t="shared" si="21"/>
        <v>299420.4</v>
      </c>
      <c r="L72" s="93">
        <f t="shared" si="21"/>
        <v>60933.0466666667</v>
      </c>
      <c r="M72" s="93">
        <f t="shared" si="21"/>
        <v>10293.3979166667</v>
      </c>
      <c r="N72" s="93">
        <f t="shared" si="21"/>
        <v>20021.0166666667</v>
      </c>
      <c r="O72" s="93">
        <f t="shared" si="21"/>
        <v>9727.61874999998</v>
      </c>
      <c r="P72" s="93">
        <f t="shared" si="21"/>
        <v>3593044.8</v>
      </c>
      <c r="Q72" s="93">
        <f t="shared" si="2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180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181</v>
      </c>
      <c r="C75" s="4" t="s">
        <v>182</v>
      </c>
      <c r="D75" s="10" t="s">
        <v>124</v>
      </c>
      <c r="E75" s="85">
        <v>1435720</v>
      </c>
      <c r="F75" s="909">
        <v>1086777.08333333</v>
      </c>
      <c r="G75" s="220">
        <v>660329.333333333</v>
      </c>
      <c r="H75" s="911">
        <f t="shared" ref="H75:H80" si="22">F75+G75</f>
        <v>1747106.41666666</v>
      </c>
      <c r="I75" s="220">
        <f t="shared" ref="I73:I104" si="23">H75-E75</f>
        <v>311386.41666666</v>
      </c>
      <c r="J75" s="916">
        <v>114857.6</v>
      </c>
      <c r="K75" s="916">
        <f t="shared" ref="K73:K104" si="24">H75*0.08</f>
        <v>139768.513333333</v>
      </c>
      <c r="L75" s="916">
        <f t="shared" ref="L72:L103" si="25">K75-J75</f>
        <v>24910.9133333328</v>
      </c>
      <c r="M75" s="916"/>
      <c r="N75" s="916"/>
      <c r="O75" s="916">
        <f t="shared" ref="O73:O104" si="26">N75-M75</f>
        <v>0</v>
      </c>
      <c r="P75" s="916">
        <f t="shared" ref="P75:P80" si="27">K75*12</f>
        <v>1677222.16</v>
      </c>
      <c r="Q75" s="916"/>
    </row>
    <row r="76" customHeight="1" spans="1:17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220">
        <v>276599.666666667</v>
      </c>
      <c r="H76" s="911">
        <f t="shared" si="22"/>
        <v>722595.5</v>
      </c>
      <c r="I76" s="220">
        <f t="shared" si="23"/>
        <v>140477.416666667</v>
      </c>
      <c r="J76" s="916">
        <v>46569.4466666667</v>
      </c>
      <c r="K76" s="916">
        <f t="shared" si="24"/>
        <v>57807.64</v>
      </c>
      <c r="L76" s="916">
        <f t="shared" si="25"/>
        <v>11238.1933333333</v>
      </c>
      <c r="M76" s="916"/>
      <c r="N76" s="916"/>
      <c r="O76" s="916">
        <f t="shared" si="26"/>
        <v>0</v>
      </c>
      <c r="P76" s="916">
        <f t="shared" si="27"/>
        <v>693691.68</v>
      </c>
      <c r="Q76" s="916"/>
    </row>
    <row r="77" customHeight="1" spans="1:17">
      <c r="A77" s="10">
        <v>3</v>
      </c>
      <c r="B77" s="11" t="s">
        <v>187</v>
      </c>
      <c r="C77" s="4" t="s">
        <v>188</v>
      </c>
      <c r="D77" s="15" t="s">
        <v>46</v>
      </c>
      <c r="E77" s="85">
        <v>470498</v>
      </c>
      <c r="F77" s="909">
        <v>357066.666666667</v>
      </c>
      <c r="G77" s="220">
        <v>216844.416666667</v>
      </c>
      <c r="H77" s="911">
        <f t="shared" si="22"/>
        <v>573911.083333334</v>
      </c>
      <c r="I77" s="220">
        <f t="shared" si="23"/>
        <v>103413.083333334</v>
      </c>
      <c r="J77" s="916">
        <v>36529.78</v>
      </c>
      <c r="K77" s="916">
        <f t="shared" si="24"/>
        <v>45912.8866666667</v>
      </c>
      <c r="L77" s="916">
        <f t="shared" si="25"/>
        <v>9383.10666666672</v>
      </c>
      <c r="M77" s="916">
        <v>6154.32291666667</v>
      </c>
      <c r="N77" s="916">
        <f>0.025*F77</f>
        <v>8926.66666666668</v>
      </c>
      <c r="O77" s="916">
        <f t="shared" si="26"/>
        <v>2772.34375000001</v>
      </c>
      <c r="P77" s="916">
        <f t="shared" si="27"/>
        <v>550954.64</v>
      </c>
      <c r="Q77" s="916">
        <f>N77*12</f>
        <v>107120</v>
      </c>
    </row>
    <row r="78" customHeight="1" spans="1:17">
      <c r="A78" s="10">
        <v>4</v>
      </c>
      <c r="B78" s="11" t="s">
        <v>194</v>
      </c>
      <c r="C78" s="4" t="s">
        <v>195</v>
      </c>
      <c r="D78" s="10" t="s">
        <v>131</v>
      </c>
      <c r="E78" s="85">
        <v>365703.833333333</v>
      </c>
      <c r="F78" s="909">
        <v>286447.083333333</v>
      </c>
      <c r="G78" s="220">
        <v>168546.5</v>
      </c>
      <c r="H78" s="911">
        <f t="shared" si="22"/>
        <v>454993.583333333</v>
      </c>
      <c r="I78" s="220">
        <f t="shared" si="23"/>
        <v>89289.75</v>
      </c>
      <c r="J78" s="916">
        <v>28281</v>
      </c>
      <c r="K78" s="916">
        <f t="shared" si="24"/>
        <v>36399.4866666666</v>
      </c>
      <c r="L78" s="916">
        <f t="shared" si="25"/>
        <v>8118.48666666664</v>
      </c>
      <c r="M78" s="916"/>
      <c r="N78" s="916"/>
      <c r="O78" s="916">
        <f t="shared" si="26"/>
        <v>0</v>
      </c>
      <c r="P78" s="916">
        <f t="shared" si="27"/>
        <v>436793.839999999</v>
      </c>
      <c r="Q78" s="916"/>
    </row>
    <row r="79" customHeight="1" spans="1:17">
      <c r="A79" s="10">
        <v>5</v>
      </c>
      <c r="B79" s="11" t="s">
        <v>198</v>
      </c>
      <c r="C79" s="4" t="s">
        <v>179</v>
      </c>
      <c r="D79" s="10" t="s">
        <v>99</v>
      </c>
      <c r="E79" s="85">
        <v>263165.333333333</v>
      </c>
      <c r="F79" s="909">
        <v>222674.583333333</v>
      </c>
      <c r="G79" s="220">
        <v>124341.583333333</v>
      </c>
      <c r="H79" s="911">
        <f t="shared" si="22"/>
        <v>347016.166666666</v>
      </c>
      <c r="I79" s="220">
        <f t="shared" si="23"/>
        <v>83850.833333333</v>
      </c>
      <c r="J79" s="916">
        <v>21053.2266666667</v>
      </c>
      <c r="K79" s="916">
        <f t="shared" si="24"/>
        <v>27761.2933333333</v>
      </c>
      <c r="L79" s="916">
        <f t="shared" si="25"/>
        <v>6708.06666666658</v>
      </c>
      <c r="M79" s="916"/>
      <c r="N79" s="916">
        <f>0.025*F79</f>
        <v>5566.86458333332</v>
      </c>
      <c r="O79" s="916">
        <f t="shared" si="26"/>
        <v>5566.86458333332</v>
      </c>
      <c r="P79" s="916">
        <f t="shared" si="27"/>
        <v>333135.52</v>
      </c>
      <c r="Q79" s="916"/>
    </row>
    <row r="80" customHeight="1" spans="1:17">
      <c r="A80" s="10">
        <v>6</v>
      </c>
      <c r="B80" s="11" t="s">
        <v>200</v>
      </c>
      <c r="C80" s="4" t="s">
        <v>201</v>
      </c>
      <c r="D80" s="10" t="s">
        <v>108</v>
      </c>
      <c r="E80" s="85">
        <v>230631.916666667</v>
      </c>
      <c r="F80" s="909">
        <v>196364.416666667</v>
      </c>
      <c r="G80" s="220">
        <v>105546.333333333</v>
      </c>
      <c r="H80" s="911">
        <f t="shared" si="22"/>
        <v>301910.75</v>
      </c>
      <c r="I80" s="220">
        <f t="shared" si="23"/>
        <v>71278.833333333</v>
      </c>
      <c r="J80" s="916">
        <v>17956.78</v>
      </c>
      <c r="K80" s="916">
        <f t="shared" si="24"/>
        <v>24152.86</v>
      </c>
      <c r="L80" s="916">
        <f t="shared" si="25"/>
        <v>6196.08</v>
      </c>
      <c r="M80" s="916"/>
      <c r="N80" s="916"/>
      <c r="O80" s="916">
        <f t="shared" si="26"/>
        <v>0</v>
      </c>
      <c r="P80" s="916">
        <f t="shared" si="27"/>
        <v>289834.32</v>
      </c>
      <c r="Q80" s="916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28">SUM(E75:E80)</f>
        <v>3347837.16666667</v>
      </c>
      <c r="F81" s="912">
        <f t="shared" si="28"/>
        <v>2595325.66666666</v>
      </c>
      <c r="G81" s="93">
        <f t="shared" si="28"/>
        <v>1552207.83333333</v>
      </c>
      <c r="H81" s="93">
        <f t="shared" si="28"/>
        <v>4147533.49999999</v>
      </c>
      <c r="I81" s="93">
        <f t="shared" si="28"/>
        <v>799696.333333327</v>
      </c>
      <c r="J81" s="93">
        <f t="shared" si="28"/>
        <v>265247.833333333</v>
      </c>
      <c r="K81" s="93">
        <f t="shared" si="28"/>
        <v>331802.68</v>
      </c>
      <c r="L81" s="93">
        <f t="shared" si="28"/>
        <v>66554.846666666</v>
      </c>
      <c r="M81" s="93">
        <f t="shared" si="28"/>
        <v>6154.32291666667</v>
      </c>
      <c r="N81" s="93">
        <f t="shared" si="28"/>
        <v>14493.53125</v>
      </c>
      <c r="O81" s="93">
        <f t="shared" si="28"/>
        <v>8339.20833333333</v>
      </c>
      <c r="P81" s="93">
        <f t="shared" si="28"/>
        <v>3981632.16</v>
      </c>
      <c r="Q81" s="93">
        <f t="shared" si="2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202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203</v>
      </c>
      <c r="C84" s="4" t="s">
        <v>142</v>
      </c>
      <c r="D84" s="10" t="s">
        <v>505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29">F84+G84</f>
        <v>1647612</v>
      </c>
      <c r="I84" s="220">
        <f t="shared" si="23"/>
        <v>295569.333333327</v>
      </c>
      <c r="J84" s="916">
        <v>114857.6</v>
      </c>
      <c r="K84" s="916">
        <f t="shared" si="24"/>
        <v>131808.96</v>
      </c>
      <c r="L84" s="916">
        <f t="shared" si="25"/>
        <v>16951.3599999998</v>
      </c>
      <c r="M84" s="916">
        <v>18254.975</v>
      </c>
      <c r="N84" s="916">
        <f>0.025*F84</f>
        <v>25644.2083333333</v>
      </c>
      <c r="O84" s="916">
        <f t="shared" si="26"/>
        <v>7389.2333333333</v>
      </c>
      <c r="P84" s="916">
        <f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205</v>
      </c>
      <c r="C85" s="4" t="s">
        <v>206</v>
      </c>
      <c r="D85" s="10" t="s">
        <v>506</v>
      </c>
      <c r="E85" s="85">
        <v>716034</v>
      </c>
      <c r="F85" s="909">
        <v>523386.5</v>
      </c>
      <c r="G85" s="85">
        <v>329324.583333333</v>
      </c>
      <c r="H85" s="220">
        <f t="shared" si="29"/>
        <v>852711.083333333</v>
      </c>
      <c r="I85" s="220">
        <f t="shared" si="23"/>
        <v>136677.083333333</v>
      </c>
      <c r="J85" s="916">
        <v>59136.2866666667</v>
      </c>
      <c r="K85" s="916">
        <f t="shared" si="24"/>
        <v>68216.8866666666</v>
      </c>
      <c r="L85" s="916">
        <f t="shared" si="25"/>
        <v>9080.59999999994</v>
      </c>
      <c r="M85" s="916"/>
      <c r="N85" s="916"/>
      <c r="O85" s="916">
        <f t="shared" si="26"/>
        <v>0</v>
      </c>
      <c r="P85" s="916">
        <f t="shared" ref="P85:P93" si="30">12*K85</f>
        <v>818602.64</v>
      </c>
      <c r="Q85" s="916"/>
    </row>
    <row r="86" customHeight="1" spans="1:17">
      <c r="A86" s="10">
        <v>3</v>
      </c>
      <c r="B86" s="11" t="s">
        <v>208</v>
      </c>
      <c r="C86" s="4" t="s">
        <v>142</v>
      </c>
      <c r="D86" s="10" t="s">
        <v>49</v>
      </c>
      <c r="E86" s="85">
        <v>601396.833333333</v>
      </c>
      <c r="F86" s="909">
        <v>445995.833333333</v>
      </c>
      <c r="G86" s="220">
        <v>276599.666666667</v>
      </c>
      <c r="H86" s="220">
        <f t="shared" si="29"/>
        <v>722595.5</v>
      </c>
      <c r="I86" s="220">
        <f t="shared" si="23"/>
        <v>121198.666666667</v>
      </c>
      <c r="J86" s="916">
        <v>46569.4466666667</v>
      </c>
      <c r="K86" s="916">
        <f t="shared" si="24"/>
        <v>57807.64</v>
      </c>
      <c r="L86" s="916">
        <f t="shared" si="25"/>
        <v>11238.1933333333</v>
      </c>
      <c r="M86" s="916"/>
      <c r="N86" s="916"/>
      <c r="O86" s="916">
        <f t="shared" si="26"/>
        <v>0</v>
      </c>
      <c r="P86" s="916">
        <f t="shared" si="30"/>
        <v>693691.68</v>
      </c>
      <c r="Q86" s="916"/>
    </row>
    <row r="87" ht="21.6" customHeight="1" spans="1:17">
      <c r="A87" s="10">
        <v>4</v>
      </c>
      <c r="B87" s="11" t="s">
        <v>209</v>
      </c>
      <c r="C87" s="4" t="s">
        <v>51</v>
      </c>
      <c r="D87" s="15" t="s">
        <v>212</v>
      </c>
      <c r="E87" s="85">
        <v>456622.25</v>
      </c>
      <c r="F87" s="909">
        <v>347715.916666667</v>
      </c>
      <c r="G87" s="220">
        <v>210449.333333333</v>
      </c>
      <c r="H87" s="220">
        <f t="shared" si="29"/>
        <v>558165.25</v>
      </c>
      <c r="I87" s="220">
        <f t="shared" si="23"/>
        <v>101543</v>
      </c>
      <c r="J87" s="916">
        <v>35344.3933333333</v>
      </c>
      <c r="K87" s="916">
        <f t="shared" si="24"/>
        <v>44653.22</v>
      </c>
      <c r="L87" s="916">
        <f t="shared" si="25"/>
        <v>9308.82666666667</v>
      </c>
      <c r="M87" s="916"/>
      <c r="N87" s="916"/>
      <c r="O87" s="916">
        <f t="shared" si="26"/>
        <v>0</v>
      </c>
      <c r="P87" s="916">
        <f t="shared" si="30"/>
        <v>535838.64</v>
      </c>
      <c r="Q87" s="916"/>
    </row>
    <row r="88" ht="21.6" customHeight="1" spans="1:17">
      <c r="A88" s="10">
        <v>5</v>
      </c>
      <c r="B88" s="11" t="s">
        <v>210</v>
      </c>
      <c r="C88" s="4" t="s">
        <v>51</v>
      </c>
      <c r="D88" s="15" t="s">
        <v>212</v>
      </c>
      <c r="E88" s="85">
        <v>456622.25</v>
      </c>
      <c r="F88" s="909">
        <v>347716.916666667</v>
      </c>
      <c r="G88" s="220">
        <v>210449.333333333</v>
      </c>
      <c r="H88" s="220">
        <f t="shared" si="29"/>
        <v>558166.25</v>
      </c>
      <c r="I88" s="220">
        <f t="shared" si="23"/>
        <v>101544</v>
      </c>
      <c r="J88" s="916">
        <v>35419.72</v>
      </c>
      <c r="K88" s="916">
        <f t="shared" si="24"/>
        <v>44653.3</v>
      </c>
      <c r="L88" s="916">
        <f t="shared" si="25"/>
        <v>9233.57999999997</v>
      </c>
      <c r="M88" s="916"/>
      <c r="N88" s="916">
        <f>0.025*F88</f>
        <v>8692.92291666667</v>
      </c>
      <c r="O88" s="916">
        <f t="shared" si="26"/>
        <v>8692.92291666667</v>
      </c>
      <c r="P88" s="916">
        <f t="shared" si="30"/>
        <v>535839.6</v>
      </c>
      <c r="Q88" s="916">
        <f>N88*12</f>
        <v>104315.075</v>
      </c>
    </row>
    <row r="89" ht="21.6" customHeight="1" spans="1:17">
      <c r="A89" s="10">
        <v>6</v>
      </c>
      <c r="B89" s="11" t="s">
        <v>211</v>
      </c>
      <c r="C89" s="12" t="s">
        <v>51</v>
      </c>
      <c r="D89" s="15" t="s">
        <v>52</v>
      </c>
      <c r="E89" s="85">
        <v>442746.5</v>
      </c>
      <c r="F89" s="909">
        <v>338365.25</v>
      </c>
      <c r="G89" s="220">
        <v>204054.25</v>
      </c>
      <c r="H89" s="220">
        <f t="shared" si="29"/>
        <v>542419.5</v>
      </c>
      <c r="I89" s="220">
        <f t="shared" si="23"/>
        <v>99673</v>
      </c>
      <c r="J89" s="916">
        <v>34309.66</v>
      </c>
      <c r="K89" s="916">
        <f t="shared" si="24"/>
        <v>43393.56</v>
      </c>
      <c r="L89" s="916">
        <f t="shared" si="25"/>
        <v>9083.89999999999</v>
      </c>
      <c r="M89" s="916"/>
      <c r="N89" s="916"/>
      <c r="O89" s="916">
        <f t="shared" si="26"/>
        <v>0</v>
      </c>
      <c r="P89" s="916">
        <f t="shared" si="30"/>
        <v>520722.72</v>
      </c>
      <c r="Q89" s="916"/>
    </row>
    <row r="90" ht="21.6" customHeight="1" spans="1:17">
      <c r="A90" s="10">
        <v>7</v>
      </c>
      <c r="B90" s="11" t="s">
        <v>213</v>
      </c>
      <c r="C90" s="17" t="s">
        <v>71</v>
      </c>
      <c r="D90" s="15" t="s">
        <v>69</v>
      </c>
      <c r="E90" s="85">
        <v>377895.166666667</v>
      </c>
      <c r="F90" s="909">
        <v>294662.916666667</v>
      </c>
      <c r="G90" s="220">
        <v>174165.25</v>
      </c>
      <c r="H90" s="220">
        <f t="shared" si="29"/>
        <v>468828.166666667</v>
      </c>
      <c r="I90" s="220">
        <f t="shared" si="23"/>
        <v>90933</v>
      </c>
      <c r="J90" s="916">
        <v>29256.3066666667</v>
      </c>
      <c r="K90" s="916">
        <f t="shared" si="24"/>
        <v>37506.2533333334</v>
      </c>
      <c r="L90" s="916">
        <f t="shared" si="25"/>
        <v>8249.94666666666</v>
      </c>
      <c r="M90" s="916"/>
      <c r="N90" s="916"/>
      <c r="O90" s="916">
        <f t="shared" si="26"/>
        <v>0</v>
      </c>
      <c r="P90" s="916">
        <f t="shared" si="30"/>
        <v>450075.04</v>
      </c>
      <c r="Q90" s="916"/>
    </row>
    <row r="91" ht="21.6" customHeight="1" spans="1:17">
      <c r="A91" s="10">
        <v>8</v>
      </c>
      <c r="B91" s="11" t="s">
        <v>214</v>
      </c>
      <c r="C91" s="17" t="s">
        <v>167</v>
      </c>
      <c r="D91" s="15" t="s">
        <v>63</v>
      </c>
      <c r="E91" s="85">
        <v>403137.916666667</v>
      </c>
      <c r="F91" s="909">
        <v>311673.25</v>
      </c>
      <c r="G91" s="220">
        <v>185799.5</v>
      </c>
      <c r="H91" s="220">
        <f t="shared" si="29"/>
        <v>497472.75</v>
      </c>
      <c r="I91" s="220">
        <f t="shared" si="23"/>
        <v>94334.833333333</v>
      </c>
      <c r="J91" s="916">
        <v>31219.9133333333</v>
      </c>
      <c r="K91" s="916">
        <f t="shared" si="24"/>
        <v>39797.82</v>
      </c>
      <c r="L91" s="916">
        <f t="shared" si="25"/>
        <v>8577.9066666667</v>
      </c>
      <c r="M91" s="916">
        <v>5259.74375</v>
      </c>
      <c r="N91" s="916">
        <f>0.025*F91</f>
        <v>7791.83125</v>
      </c>
      <c r="O91" s="916">
        <f t="shared" si="26"/>
        <v>2532.0875</v>
      </c>
      <c r="P91" s="916">
        <f t="shared" si="30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217</v>
      </c>
      <c r="C92" s="4" t="s">
        <v>218</v>
      </c>
      <c r="D92" s="10" t="s">
        <v>77</v>
      </c>
      <c r="E92" s="220">
        <v>308901.5</v>
      </c>
      <c r="F92" s="909">
        <v>246171.166666667</v>
      </c>
      <c r="G92" s="220">
        <v>143964.666666667</v>
      </c>
      <c r="H92" s="220">
        <f t="shared" si="29"/>
        <v>390135.833333334</v>
      </c>
      <c r="I92" s="220">
        <f t="shared" si="23"/>
        <v>81234.333333334</v>
      </c>
      <c r="J92" s="916">
        <v>24077.2466666667</v>
      </c>
      <c r="K92" s="916">
        <f t="shared" si="24"/>
        <v>31210.8666666667</v>
      </c>
      <c r="L92" s="916">
        <f t="shared" si="25"/>
        <v>7133.62000000002</v>
      </c>
      <c r="M92" s="916"/>
      <c r="N92" s="916"/>
      <c r="O92" s="916">
        <f t="shared" si="26"/>
        <v>0</v>
      </c>
      <c r="P92" s="916">
        <f t="shared" si="30"/>
        <v>374530.400000001</v>
      </c>
      <c r="Q92" s="916"/>
    </row>
    <row r="93" ht="21.6" customHeight="1" spans="1:17">
      <c r="A93" s="10">
        <v>10</v>
      </c>
      <c r="B93" s="11" t="s">
        <v>221</v>
      </c>
      <c r="C93" s="17" t="s">
        <v>222</v>
      </c>
      <c r="D93" s="15" t="s">
        <v>105</v>
      </c>
      <c r="E93" s="220">
        <v>236804.083333333</v>
      </c>
      <c r="F93" s="909">
        <v>200549.416666667</v>
      </c>
      <c r="G93" s="220">
        <v>108371.25</v>
      </c>
      <c r="H93" s="220">
        <f t="shared" si="29"/>
        <v>308920.666666667</v>
      </c>
      <c r="I93" s="220">
        <f t="shared" si="23"/>
        <v>72116.583333334</v>
      </c>
      <c r="J93" s="916">
        <v>18450.5533333333</v>
      </c>
      <c r="K93" s="916">
        <f t="shared" si="24"/>
        <v>24713.6533333334</v>
      </c>
      <c r="L93" s="916">
        <f t="shared" si="25"/>
        <v>6263.10000000006</v>
      </c>
      <c r="M93" s="916"/>
      <c r="N93" s="916">
        <f>0.025*F93</f>
        <v>5013.73541666668</v>
      </c>
      <c r="O93" s="916">
        <f t="shared" si="26"/>
        <v>5013.73541666668</v>
      </c>
      <c r="P93" s="916">
        <f t="shared" si="30"/>
        <v>296563.84</v>
      </c>
      <c r="Q93" s="916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31">SUM(E84:E93)</f>
        <v>5352203.16666667</v>
      </c>
      <c r="F94" s="912">
        <f t="shared" si="31"/>
        <v>4082005.5</v>
      </c>
      <c r="G94" s="93">
        <f t="shared" si="31"/>
        <v>2465021.5</v>
      </c>
      <c r="H94" s="93">
        <f t="shared" si="31"/>
        <v>6547027</v>
      </c>
      <c r="I94" s="93">
        <f t="shared" si="31"/>
        <v>1194823.83333333</v>
      </c>
      <c r="J94" s="93">
        <f t="shared" si="31"/>
        <v>428641.126666667</v>
      </c>
      <c r="K94" s="93">
        <f t="shared" si="31"/>
        <v>523762.16</v>
      </c>
      <c r="L94" s="93">
        <f t="shared" si="31"/>
        <v>95121.0333333331</v>
      </c>
      <c r="M94" s="93">
        <f t="shared" si="31"/>
        <v>23514.71875</v>
      </c>
      <c r="N94" s="93">
        <f t="shared" si="31"/>
        <v>47142.6979166666</v>
      </c>
      <c r="O94" s="93">
        <f t="shared" si="31"/>
        <v>23627.9791666666</v>
      </c>
      <c r="P94" s="93">
        <f t="shared" si="31"/>
        <v>6285145.92</v>
      </c>
      <c r="Q94" s="93">
        <f t="shared" si="31"/>
        <v>505547.549999999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224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225</v>
      </c>
      <c r="C97" s="4" t="s">
        <v>554</v>
      </c>
      <c r="D97" s="16" t="s">
        <v>140</v>
      </c>
      <c r="E97" s="85">
        <v>1393881.33333333</v>
      </c>
      <c r="F97" s="909">
        <v>1056272.83333333</v>
      </c>
      <c r="G97" s="220">
        <v>641086.5</v>
      </c>
      <c r="H97" s="911">
        <f>F97+G97</f>
        <v>1697359.33333333</v>
      </c>
      <c r="I97" s="220">
        <f t="shared" si="23"/>
        <v>303478</v>
      </c>
      <c r="J97" s="916">
        <v>114857.6</v>
      </c>
      <c r="K97" s="916">
        <f t="shared" si="24"/>
        <v>135788.746666666</v>
      </c>
      <c r="L97" s="916">
        <f t="shared" si="25"/>
        <v>20931.1466666664</v>
      </c>
      <c r="M97" s="916">
        <v>18254.975</v>
      </c>
      <c r="N97" s="916">
        <f>0.025*F97</f>
        <v>26406.8208333333</v>
      </c>
      <c r="O97" s="916">
        <f t="shared" si="26"/>
        <v>8151.8458333333</v>
      </c>
      <c r="P97" s="916">
        <f>12*K97</f>
        <v>1629464.95999999</v>
      </c>
      <c r="Q97" s="916">
        <f>N97*12</f>
        <v>316881.849999999</v>
      </c>
    </row>
    <row r="98" customHeight="1" spans="1:17">
      <c r="A98" s="10">
        <v>2</v>
      </c>
      <c r="B98" s="11" t="s">
        <v>227</v>
      </c>
      <c r="C98" s="4" t="s">
        <v>228</v>
      </c>
      <c r="D98" s="15" t="s">
        <v>46</v>
      </c>
      <c r="E98" s="85">
        <v>470498</v>
      </c>
      <c r="F98" s="909">
        <v>357066.666666667</v>
      </c>
      <c r="G98" s="220">
        <v>216844.416666667</v>
      </c>
      <c r="H98" s="911">
        <f>F98+G98</f>
        <v>573911.083333334</v>
      </c>
      <c r="I98" s="220">
        <f t="shared" si="23"/>
        <v>103413.083333334</v>
      </c>
      <c r="J98" s="916">
        <v>36529.78</v>
      </c>
      <c r="K98" s="916">
        <f t="shared" si="24"/>
        <v>45912.8866666667</v>
      </c>
      <c r="L98" s="916">
        <f t="shared" si="25"/>
        <v>9383.10666666672</v>
      </c>
      <c r="M98" s="916"/>
      <c r="N98" s="916"/>
      <c r="O98" s="916">
        <f t="shared" si="26"/>
        <v>0</v>
      </c>
      <c r="P98" s="916">
        <f>12*K98</f>
        <v>550954.64</v>
      </c>
      <c r="Q98" s="916">
        <f>N98*12</f>
        <v>0</v>
      </c>
    </row>
    <row r="99" customHeight="1" spans="1:17">
      <c r="A99" s="10">
        <v>3</v>
      </c>
      <c r="B99" s="11" t="s">
        <v>229</v>
      </c>
      <c r="C99" s="12" t="s">
        <v>230</v>
      </c>
      <c r="D99" s="15" t="s">
        <v>63</v>
      </c>
      <c r="E99" s="85">
        <v>403137.916666667</v>
      </c>
      <c r="F99" s="909">
        <v>311673.25</v>
      </c>
      <c r="G99" s="220">
        <v>185799.5</v>
      </c>
      <c r="H99" s="911">
        <f>F99+G99</f>
        <v>497472.75</v>
      </c>
      <c r="I99" s="220">
        <f t="shared" si="23"/>
        <v>94334.833333333</v>
      </c>
      <c r="J99" s="916">
        <v>31219.91</v>
      </c>
      <c r="K99" s="916">
        <f t="shared" si="24"/>
        <v>39797.82</v>
      </c>
      <c r="L99" s="916">
        <f t="shared" si="25"/>
        <v>8577.91</v>
      </c>
      <c r="M99" s="916">
        <v>5967.30625</v>
      </c>
      <c r="N99" s="916">
        <f>0.025*F99</f>
        <v>7791.83125</v>
      </c>
      <c r="O99" s="916">
        <f t="shared" si="26"/>
        <v>1824.525</v>
      </c>
      <c r="P99" s="916">
        <f>12*K99</f>
        <v>477573.84</v>
      </c>
      <c r="Q99" s="916">
        <f>N99*12</f>
        <v>93501.975</v>
      </c>
    </row>
    <row r="100" customHeight="1" spans="1:17">
      <c r="A100" s="10">
        <v>4</v>
      </c>
      <c r="B100" s="11" t="s">
        <v>233</v>
      </c>
      <c r="C100" s="4" t="s">
        <v>555</v>
      </c>
      <c r="D100" s="15" t="s">
        <v>170</v>
      </c>
      <c r="E100" s="85">
        <v>390086.5</v>
      </c>
      <c r="F100" s="909">
        <v>302878.666666667</v>
      </c>
      <c r="G100" s="220">
        <v>179784</v>
      </c>
      <c r="H100" s="911">
        <f>F100+G100</f>
        <v>482662.666666667</v>
      </c>
      <c r="I100" s="220">
        <f t="shared" si="23"/>
        <v>92576.166666667</v>
      </c>
      <c r="J100" s="916">
        <v>30231.6133333333</v>
      </c>
      <c r="K100" s="916">
        <f t="shared" si="24"/>
        <v>38613.0133333334</v>
      </c>
      <c r="L100" s="916">
        <f t="shared" si="25"/>
        <v>8381.40000000006</v>
      </c>
      <c r="M100" s="916"/>
      <c r="N100" s="916"/>
      <c r="O100" s="916">
        <f t="shared" si="26"/>
        <v>0</v>
      </c>
      <c r="P100" s="916">
        <f>12*K100</f>
        <v>463356.160000001</v>
      </c>
      <c r="Q100" s="916">
        <f>N100*12</f>
        <v>0</v>
      </c>
    </row>
    <row r="101" customHeight="1" spans="1:17">
      <c r="A101" s="10">
        <v>5</v>
      </c>
      <c r="B101" s="11" t="s">
        <v>234</v>
      </c>
      <c r="C101" s="4" t="s">
        <v>197</v>
      </c>
      <c r="D101" s="15" t="s">
        <v>77</v>
      </c>
      <c r="E101" s="220">
        <v>308901.5</v>
      </c>
      <c r="F101" s="909">
        <v>246171.166666667</v>
      </c>
      <c r="G101" s="220">
        <v>143964.666666667</v>
      </c>
      <c r="H101" s="911">
        <f>F101+G101</f>
        <v>390135.833333334</v>
      </c>
      <c r="I101" s="220">
        <f t="shared" si="23"/>
        <v>81234.333333334</v>
      </c>
      <c r="J101" s="916">
        <v>24077.2466666667</v>
      </c>
      <c r="K101" s="916">
        <f t="shared" si="24"/>
        <v>31210.8666666667</v>
      </c>
      <c r="L101" s="916">
        <f t="shared" si="25"/>
        <v>7133.62000000002</v>
      </c>
      <c r="M101" s="916"/>
      <c r="N101" s="916"/>
      <c r="O101" s="916">
        <f t="shared" si="26"/>
        <v>0</v>
      </c>
      <c r="P101" s="916">
        <f>12*K101</f>
        <v>374530.4</v>
      </c>
      <c r="Q101" s="916">
        <f>N101*12</f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32">SUM(E97:E101)</f>
        <v>2966505.25</v>
      </c>
      <c r="F102" s="912">
        <f t="shared" si="32"/>
        <v>2274062.58333333</v>
      </c>
      <c r="G102" s="93">
        <f t="shared" si="32"/>
        <v>1367479.08333333</v>
      </c>
      <c r="H102" s="93">
        <f t="shared" si="32"/>
        <v>3641541.66666667</v>
      </c>
      <c r="I102" s="93">
        <f t="shared" si="32"/>
        <v>675036.416666668</v>
      </c>
      <c r="J102" s="93">
        <f t="shared" si="32"/>
        <v>236916.15</v>
      </c>
      <c r="K102" s="93">
        <f t="shared" si="32"/>
        <v>291323.333333333</v>
      </c>
      <c r="L102" s="93">
        <f t="shared" si="32"/>
        <v>54407.1833333332</v>
      </c>
      <c r="M102" s="93">
        <f t="shared" si="32"/>
        <v>24222.28125</v>
      </c>
      <c r="N102" s="93">
        <f t="shared" si="32"/>
        <v>34198.6520833333</v>
      </c>
      <c r="O102" s="93">
        <f t="shared" si="32"/>
        <v>9976.3708333333</v>
      </c>
      <c r="P102" s="93">
        <f t="shared" si="32"/>
        <v>3495879.99999999</v>
      </c>
      <c r="Q102" s="93">
        <f t="shared" si="32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237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556</v>
      </c>
      <c r="C105" s="12" t="s">
        <v>239</v>
      </c>
      <c r="D105" s="15" t="s">
        <v>124</v>
      </c>
      <c r="E105" s="85">
        <v>1435720</v>
      </c>
      <c r="F105" s="909">
        <v>1086777.08333333</v>
      </c>
      <c r="G105" s="220">
        <v>660329.333333333</v>
      </c>
      <c r="H105" s="911">
        <f>F105+G105</f>
        <v>1747106.41666666</v>
      </c>
      <c r="I105" s="220">
        <f t="shared" ref="I105:I136" si="33">H105-E105</f>
        <v>311386.41666666</v>
      </c>
      <c r="J105" s="916">
        <v>114857.6</v>
      </c>
      <c r="K105" s="916">
        <f t="shared" ref="K105:K111" si="34">H105*0.08</f>
        <v>139768.513333333</v>
      </c>
      <c r="L105" s="916">
        <f>K105-J105</f>
        <v>24910.9133333328</v>
      </c>
      <c r="M105" s="916">
        <v>0</v>
      </c>
      <c r="N105" s="916"/>
      <c r="O105" s="916">
        <f t="shared" ref="O105:O136" si="35">N105-M105</f>
        <v>0</v>
      </c>
      <c r="P105" s="916">
        <f>K105*12</f>
        <v>1677222.16</v>
      </c>
      <c r="Q105" s="916"/>
    </row>
    <row r="106" customHeight="1" spans="1:17">
      <c r="A106" s="4">
        <v>2</v>
      </c>
      <c r="B106" s="11" t="s">
        <v>240</v>
      </c>
      <c r="C106" s="4" t="s">
        <v>241</v>
      </c>
      <c r="D106" s="16" t="s">
        <v>35</v>
      </c>
      <c r="E106" s="85">
        <v>762373.166666667</v>
      </c>
      <c r="F106" s="909">
        <v>554669.5</v>
      </c>
      <c r="G106" s="220">
        <v>350637.25</v>
      </c>
      <c r="H106" s="911">
        <f t="shared" ref="H106:H111" si="36">F106+G106</f>
        <v>905306.75</v>
      </c>
      <c r="I106" s="220">
        <f t="shared" si="33"/>
        <v>142933.583333333</v>
      </c>
      <c r="J106" s="916">
        <v>60989.8533333333</v>
      </c>
      <c r="K106" s="916">
        <f t="shared" si="34"/>
        <v>72424.54</v>
      </c>
      <c r="L106" s="916">
        <f t="shared" ref="L106:L117" si="37">K106-J106</f>
        <v>11434.6866666667</v>
      </c>
      <c r="M106" s="916">
        <v>10293.3979166667</v>
      </c>
      <c r="N106" s="916">
        <f t="shared" ref="N106:N111" si="38">0.025*F106</f>
        <v>13866.7375</v>
      </c>
      <c r="O106" s="916">
        <f t="shared" si="35"/>
        <v>3573.3395833333</v>
      </c>
      <c r="P106" s="916">
        <f t="shared" ref="P106:P111" si="39">K106*12</f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242</v>
      </c>
      <c r="C107" s="4" t="s">
        <v>557</v>
      </c>
      <c r="D107" s="10" t="s">
        <v>55</v>
      </c>
      <c r="E107" s="85">
        <v>441804.916666667</v>
      </c>
      <c r="F107" s="909">
        <v>337730.833333333</v>
      </c>
      <c r="G107" s="220">
        <v>203620.5</v>
      </c>
      <c r="H107" s="911">
        <f t="shared" si="36"/>
        <v>541351.333333333</v>
      </c>
      <c r="I107" s="220">
        <f t="shared" si="33"/>
        <v>99546.416666666</v>
      </c>
      <c r="J107" s="916">
        <v>35344.3933333333</v>
      </c>
      <c r="K107" s="916">
        <f t="shared" si="34"/>
        <v>43308.1066666666</v>
      </c>
      <c r="L107" s="916">
        <f t="shared" si="37"/>
        <v>7963.71333333335</v>
      </c>
      <c r="M107" s="916">
        <v>5954.61041666667</v>
      </c>
      <c r="N107" s="916">
        <f t="shared" si="38"/>
        <v>8443.27083333333</v>
      </c>
      <c r="O107" s="916">
        <f t="shared" si="35"/>
        <v>2488.66041666666</v>
      </c>
      <c r="P107" s="916">
        <f t="shared" si="3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244</v>
      </c>
      <c r="C108" s="4" t="s">
        <v>557</v>
      </c>
      <c r="D108" s="10" t="s">
        <v>501</v>
      </c>
      <c r="E108" s="85">
        <v>441804.916666667</v>
      </c>
      <c r="F108" s="909">
        <v>338365.25</v>
      </c>
      <c r="G108" s="220">
        <v>204054.25</v>
      </c>
      <c r="H108" s="911">
        <f t="shared" si="36"/>
        <v>542419.5</v>
      </c>
      <c r="I108" s="220">
        <f t="shared" si="33"/>
        <v>100614.583333333</v>
      </c>
      <c r="J108" s="916">
        <v>35344.3933333333</v>
      </c>
      <c r="K108" s="916">
        <f t="shared" si="34"/>
        <v>43393.56</v>
      </c>
      <c r="L108" s="916">
        <f t="shared" si="37"/>
        <v>8049.1666666667</v>
      </c>
      <c r="M108" s="916"/>
      <c r="N108" s="916"/>
      <c r="O108" s="916">
        <f t="shared" si="35"/>
        <v>0</v>
      </c>
      <c r="P108" s="916">
        <f t="shared" si="39"/>
        <v>520722.72</v>
      </c>
      <c r="Q108" s="916"/>
    </row>
    <row r="109" customHeight="1" spans="1:17">
      <c r="A109" s="4">
        <v>5</v>
      </c>
      <c r="B109" s="11" t="s">
        <v>247</v>
      </c>
      <c r="C109" s="4" t="s">
        <v>248</v>
      </c>
      <c r="D109" s="15" t="s">
        <v>507</v>
      </c>
      <c r="E109" s="220">
        <v>255320.583333333</v>
      </c>
      <c r="F109" s="909">
        <v>213104.416666667</v>
      </c>
      <c r="G109" s="220">
        <v>116846</v>
      </c>
      <c r="H109" s="911">
        <f t="shared" si="36"/>
        <v>329950.416666667</v>
      </c>
      <c r="I109" s="220">
        <f t="shared" si="33"/>
        <v>74629.833333334</v>
      </c>
      <c r="J109" s="916">
        <v>19931.8733333333</v>
      </c>
      <c r="K109" s="916">
        <f t="shared" si="34"/>
        <v>26396.0333333334</v>
      </c>
      <c r="L109" s="916">
        <f t="shared" si="37"/>
        <v>6464.16000000006</v>
      </c>
      <c r="M109" s="916"/>
      <c r="N109" s="916"/>
      <c r="O109" s="916">
        <f t="shared" si="35"/>
        <v>0</v>
      </c>
      <c r="P109" s="916">
        <f t="shared" si="39"/>
        <v>316752.4</v>
      </c>
      <c r="Q109" s="916"/>
    </row>
    <row r="110" customHeight="1" spans="1:17">
      <c r="A110" s="4">
        <v>6</v>
      </c>
      <c r="B110" s="18" t="s">
        <v>250</v>
      </c>
      <c r="C110" s="4" t="s">
        <v>248</v>
      </c>
      <c r="D110" s="10" t="s">
        <v>344</v>
      </c>
      <c r="E110" s="220">
        <v>255849</v>
      </c>
      <c r="F110" s="909">
        <v>212792.166666667</v>
      </c>
      <c r="G110" s="220">
        <v>117614.916666667</v>
      </c>
      <c r="H110" s="911">
        <f t="shared" si="36"/>
        <v>330407.083333334</v>
      </c>
      <c r="I110" s="220">
        <f t="shared" si="33"/>
        <v>74558.083333334</v>
      </c>
      <c r="J110" s="916">
        <v>21053.2266666667</v>
      </c>
      <c r="K110" s="916">
        <f t="shared" si="34"/>
        <v>26432.5666666667</v>
      </c>
      <c r="L110" s="916">
        <f t="shared" si="37"/>
        <v>5379.34000000002</v>
      </c>
      <c r="M110" s="916"/>
      <c r="N110" s="916"/>
      <c r="O110" s="916">
        <f t="shared" si="35"/>
        <v>0</v>
      </c>
      <c r="P110" s="916">
        <f t="shared" si="39"/>
        <v>317190.800000001</v>
      </c>
      <c r="Q110" s="916"/>
    </row>
    <row r="111" customHeight="1" spans="1:17">
      <c r="A111" s="4">
        <v>7</v>
      </c>
      <c r="B111" s="18" t="s">
        <v>251</v>
      </c>
      <c r="C111" s="4" t="s">
        <v>248</v>
      </c>
      <c r="D111" s="15" t="s">
        <v>105</v>
      </c>
      <c r="E111" s="220">
        <v>236804.083333333</v>
      </c>
      <c r="F111" s="909">
        <v>200549.416666667</v>
      </c>
      <c r="G111" s="220">
        <v>108371.25</v>
      </c>
      <c r="H111" s="911">
        <f t="shared" si="36"/>
        <v>308920.666666667</v>
      </c>
      <c r="I111" s="220">
        <f t="shared" si="33"/>
        <v>72116.583333334</v>
      </c>
      <c r="J111" s="916">
        <v>18450.5533333333</v>
      </c>
      <c r="K111" s="916">
        <f t="shared" si="34"/>
        <v>24713.6533333334</v>
      </c>
      <c r="L111" s="916">
        <f t="shared" si="37"/>
        <v>6263.10000000006</v>
      </c>
      <c r="M111" s="916"/>
      <c r="N111" s="916">
        <f t="shared" si="38"/>
        <v>5013.73541666668</v>
      </c>
      <c r="O111" s="916">
        <f t="shared" si="35"/>
        <v>5013.73541666668</v>
      </c>
      <c r="P111" s="916">
        <f t="shared" si="39"/>
        <v>296563.84</v>
      </c>
      <c r="Q111" s="916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40">SUM(E105:E111)</f>
        <v>3829676.66666667</v>
      </c>
      <c r="F112" s="918">
        <f t="shared" si="40"/>
        <v>2943988.66666666</v>
      </c>
      <c r="G112" s="223">
        <f t="shared" si="40"/>
        <v>1761473.5</v>
      </c>
      <c r="H112" s="223">
        <f t="shared" si="40"/>
        <v>4705462.16666666</v>
      </c>
      <c r="I112" s="223">
        <f t="shared" si="40"/>
        <v>875785.499999994</v>
      </c>
      <c r="J112" s="223">
        <f t="shared" si="40"/>
        <v>305971.893333333</v>
      </c>
      <c r="K112" s="223">
        <f t="shared" si="40"/>
        <v>376436.973333333</v>
      </c>
      <c r="L112" s="223">
        <f t="shared" si="40"/>
        <v>70465.0799999997</v>
      </c>
      <c r="M112" s="223">
        <f t="shared" si="40"/>
        <v>16248.0083333334</v>
      </c>
      <c r="N112" s="223">
        <f t="shared" si="40"/>
        <v>27323.74375</v>
      </c>
      <c r="O112" s="223">
        <f t="shared" si="40"/>
        <v>11075.7354166666</v>
      </c>
      <c r="P112" s="223">
        <f t="shared" si="40"/>
        <v>4517243.68</v>
      </c>
      <c r="Q112" s="223">
        <f t="shared" si="4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255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257</v>
      </c>
      <c r="C115" s="4" t="s">
        <v>258</v>
      </c>
      <c r="D115" s="15" t="s">
        <v>170</v>
      </c>
      <c r="E115" s="85">
        <v>390086.5</v>
      </c>
      <c r="F115" s="909">
        <v>302878.666666667</v>
      </c>
      <c r="G115" s="220">
        <v>179784</v>
      </c>
      <c r="H115" s="911">
        <f>F115+G115</f>
        <v>482662.666666667</v>
      </c>
      <c r="I115" s="220">
        <f t="shared" si="33"/>
        <v>92576.166666667</v>
      </c>
      <c r="J115" s="916">
        <v>30231.6133333333</v>
      </c>
      <c r="K115" s="916">
        <f>H115*0.08</f>
        <v>38613.0133333334</v>
      </c>
      <c r="L115" s="916">
        <f t="shared" si="37"/>
        <v>8381.40000000006</v>
      </c>
      <c r="M115" s="916"/>
      <c r="N115" s="916"/>
      <c r="O115" s="916">
        <f t="shared" si="35"/>
        <v>0</v>
      </c>
      <c r="P115" s="916">
        <f>12*K115</f>
        <v>463356.160000001</v>
      </c>
      <c r="Q115" s="916"/>
    </row>
    <row r="116" ht="18.75" customHeight="1" spans="1:17">
      <c r="A116" s="10">
        <v>2</v>
      </c>
      <c r="B116" s="11" t="s">
        <v>260</v>
      </c>
      <c r="C116" s="4" t="s">
        <v>71</v>
      </c>
      <c r="D116" s="15" t="s">
        <v>69</v>
      </c>
      <c r="E116" s="85">
        <v>377895.166666667</v>
      </c>
      <c r="F116" s="909">
        <v>294662.916666667</v>
      </c>
      <c r="G116" s="220">
        <v>174165.25</v>
      </c>
      <c r="H116" s="911">
        <f>F116+G116</f>
        <v>468828.166666667</v>
      </c>
      <c r="I116" s="220">
        <f t="shared" si="33"/>
        <v>90933</v>
      </c>
      <c r="J116" s="916">
        <v>30231.6133333333</v>
      </c>
      <c r="K116" s="916">
        <f>H116*0.08</f>
        <v>37506.2533333334</v>
      </c>
      <c r="L116" s="916">
        <f t="shared" si="37"/>
        <v>7274.64000000006</v>
      </c>
      <c r="M116" s="916"/>
      <c r="N116" s="916"/>
      <c r="O116" s="916">
        <f t="shared" si="35"/>
        <v>0</v>
      </c>
      <c r="P116" s="916">
        <f>12*K116</f>
        <v>450075.040000001</v>
      </c>
      <c r="Q116" s="916"/>
    </row>
    <row r="117" customHeight="1" spans="1:17">
      <c r="A117" s="10">
        <v>3</v>
      </c>
      <c r="B117" s="11" t="s">
        <v>190</v>
      </c>
      <c r="C117" s="12" t="s">
        <v>191</v>
      </c>
      <c r="D117" s="15" t="s">
        <v>66</v>
      </c>
      <c r="E117" s="85">
        <v>390248.916666667</v>
      </c>
      <c r="F117" s="909">
        <v>302987.416666667</v>
      </c>
      <c r="G117" s="220">
        <v>179859.166666667</v>
      </c>
      <c r="H117" s="911">
        <f>F117+G117</f>
        <v>482846.583333334</v>
      </c>
      <c r="I117" s="220">
        <f t="shared" si="33"/>
        <v>92597.666666667</v>
      </c>
      <c r="J117" s="916">
        <v>31219.91</v>
      </c>
      <c r="K117" s="916">
        <f>H117*0.08</f>
        <v>38627.7266666667</v>
      </c>
      <c r="L117" s="916">
        <f t="shared" si="37"/>
        <v>7407.81666666672</v>
      </c>
      <c r="M117" s="916">
        <v>5967.30625</v>
      </c>
      <c r="N117" s="916">
        <f>0.025*F117</f>
        <v>7574.68541666667</v>
      </c>
      <c r="O117" s="916">
        <f t="shared" si="35"/>
        <v>1607.37916666667</v>
      </c>
      <c r="P117" s="916">
        <f>12*K117</f>
        <v>463532.72</v>
      </c>
      <c r="Q117" s="916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41">SUM(E115:E117)</f>
        <v>1158230.58333333</v>
      </c>
      <c r="F118" s="912">
        <f t="shared" si="41"/>
        <v>900529.000000001</v>
      </c>
      <c r="G118" s="93">
        <f t="shared" si="41"/>
        <v>533808.416666667</v>
      </c>
      <c r="H118" s="93">
        <f t="shared" si="41"/>
        <v>1434337.41666667</v>
      </c>
      <c r="I118" s="93">
        <f t="shared" si="41"/>
        <v>276106.833333334</v>
      </c>
      <c r="J118" s="93">
        <f t="shared" si="41"/>
        <v>91683.1366666666</v>
      </c>
      <c r="K118" s="93">
        <f t="shared" si="41"/>
        <v>114746.993333334</v>
      </c>
      <c r="L118" s="93">
        <f t="shared" si="41"/>
        <v>23063.8566666668</v>
      </c>
      <c r="M118" s="93">
        <f t="shared" si="41"/>
        <v>5967.30625</v>
      </c>
      <c r="N118" s="93">
        <f t="shared" si="41"/>
        <v>7574.68541666667</v>
      </c>
      <c r="O118" s="93">
        <f t="shared" si="41"/>
        <v>1607.37916666667</v>
      </c>
      <c r="P118" s="93">
        <f t="shared" si="41"/>
        <v>1376963.92</v>
      </c>
      <c r="Q118" s="93">
        <f t="shared" si="41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267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09">
        <v>187994.416666667</v>
      </c>
      <c r="G121" s="220">
        <v>99896.5</v>
      </c>
      <c r="H121" s="911">
        <f>F121+G121</f>
        <v>287890.916666667</v>
      </c>
      <c r="I121" s="220">
        <f>H121-E121</f>
        <v>69603.333333334</v>
      </c>
      <c r="J121" s="916">
        <v>17463.0066666666</v>
      </c>
      <c r="K121" s="916">
        <f>H121*0.08</f>
        <v>23031.2733333334</v>
      </c>
      <c r="L121" s="916">
        <f>K121-J121</f>
        <v>5568.26666666676</v>
      </c>
      <c r="M121" s="916"/>
      <c r="N121" s="916"/>
      <c r="O121" s="916">
        <f t="shared" si="35"/>
        <v>0</v>
      </c>
      <c r="P121" s="916">
        <f>12*K121</f>
        <v>276375.280000001</v>
      </c>
      <c r="Q121" s="916"/>
    </row>
    <row r="122" ht="24.75" customHeight="1" spans="1:17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09">
        <v>187994.416666667</v>
      </c>
      <c r="G122" s="220">
        <v>99896.5</v>
      </c>
      <c r="H122" s="911">
        <f>F122+G122</f>
        <v>287890.916666667</v>
      </c>
      <c r="I122" s="220">
        <f>H122-E122</f>
        <v>69603.333333334</v>
      </c>
      <c r="J122" s="916">
        <v>17463.0066666666</v>
      </c>
      <c r="K122" s="916">
        <f>H122*0.08</f>
        <v>23031.2733333334</v>
      </c>
      <c r="L122" s="916">
        <f>K122-J122</f>
        <v>5568.26666666676</v>
      </c>
      <c r="M122" s="916"/>
      <c r="N122" s="916"/>
      <c r="O122" s="916">
        <f t="shared" si="35"/>
        <v>0</v>
      </c>
      <c r="P122" s="916">
        <f>12*K122</f>
        <v>276375.280000001</v>
      </c>
      <c r="Q122" s="916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42">SUM(E121:E122)</f>
        <v>436575.166666666</v>
      </c>
      <c r="F123" s="912">
        <f t="shared" si="42"/>
        <v>375988.833333334</v>
      </c>
      <c r="G123" s="93">
        <f t="shared" si="42"/>
        <v>199793</v>
      </c>
      <c r="H123" s="93">
        <f t="shared" si="42"/>
        <v>575781.833333334</v>
      </c>
      <c r="I123" s="93">
        <f t="shared" si="42"/>
        <v>139206.666666668</v>
      </c>
      <c r="J123" s="93">
        <f t="shared" si="42"/>
        <v>34926.0133333332</v>
      </c>
      <c r="K123" s="93">
        <f t="shared" si="42"/>
        <v>46062.5466666668</v>
      </c>
      <c r="L123" s="93">
        <f t="shared" si="42"/>
        <v>11136.5333333335</v>
      </c>
      <c r="M123" s="93">
        <f t="shared" si="42"/>
        <v>0</v>
      </c>
      <c r="N123" s="93">
        <f t="shared" si="42"/>
        <v>0</v>
      </c>
      <c r="O123" s="93">
        <f t="shared" si="42"/>
        <v>0</v>
      </c>
      <c r="P123" s="93">
        <f t="shared" si="42"/>
        <v>552750.560000002</v>
      </c>
      <c r="Q123" s="93">
        <f t="shared" si="42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279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09">
        <v>1086777.08333333</v>
      </c>
      <c r="G126" s="220">
        <v>660329.333333333</v>
      </c>
      <c r="H126" s="911">
        <f t="shared" ref="H126:H135" si="43">F126+G126</f>
        <v>1747106.41666666</v>
      </c>
      <c r="I126" s="220">
        <f t="shared" ref="I126:I135" si="44">H126-E126</f>
        <v>311386.41666666</v>
      </c>
      <c r="J126" s="916">
        <v>114857.6</v>
      </c>
      <c r="K126" s="916">
        <f>H126*0.08</f>
        <v>139768.513333333</v>
      </c>
      <c r="L126" s="916">
        <f t="shared" ref="L126:L135" si="45">K126-J126</f>
        <v>24910.9133333328</v>
      </c>
      <c r="M126" s="916">
        <v>19384.7666666667</v>
      </c>
      <c r="N126" s="916">
        <f>0.025*F126</f>
        <v>27169.4270833333</v>
      </c>
      <c r="O126" s="916">
        <f t="shared" si="35"/>
        <v>7784.6604166666</v>
      </c>
      <c r="P126" s="916">
        <f>12*K126</f>
        <v>1677222.16</v>
      </c>
      <c r="Q126" s="916">
        <f>N126*12</f>
        <v>326033.124999999</v>
      </c>
    </row>
    <row r="127" customHeight="1" spans="1:17">
      <c r="A127" s="4">
        <v>2</v>
      </c>
      <c r="B127" s="11" t="s">
        <v>282</v>
      </c>
      <c r="C127" s="12" t="s">
        <v>558</v>
      </c>
      <c r="D127" s="15" t="s">
        <v>35</v>
      </c>
      <c r="E127" s="85">
        <v>762373.166666667</v>
      </c>
      <c r="F127" s="909">
        <v>554669.5</v>
      </c>
      <c r="G127" s="220">
        <v>350637.25</v>
      </c>
      <c r="H127" s="911">
        <f t="shared" si="43"/>
        <v>905306.75</v>
      </c>
      <c r="I127" s="220">
        <f t="shared" si="44"/>
        <v>142933.583333333</v>
      </c>
      <c r="J127" s="916">
        <v>59136.2866666667</v>
      </c>
      <c r="K127" s="916">
        <f t="shared" ref="K127:K135" si="46">H127*0.08</f>
        <v>72424.54</v>
      </c>
      <c r="L127" s="916">
        <f t="shared" si="45"/>
        <v>13288.2533333333</v>
      </c>
      <c r="M127" s="916">
        <v>9980.56666666667</v>
      </c>
      <c r="N127" s="916">
        <f>0.025*F127</f>
        <v>13866.7375</v>
      </c>
      <c r="O127" s="916">
        <f t="shared" si="35"/>
        <v>3886.17083333333</v>
      </c>
      <c r="P127" s="916">
        <f t="shared" ref="P127:P135" si="47">12*K127</f>
        <v>869094.48</v>
      </c>
      <c r="Q127" s="916">
        <f t="shared" ref="Q127:Q135" si="48">N127*12</f>
        <v>166400.85</v>
      </c>
    </row>
    <row r="128" customHeight="1" spans="1:17">
      <c r="A128" s="4">
        <v>3</v>
      </c>
      <c r="B128" s="14" t="s">
        <v>284</v>
      </c>
      <c r="C128" s="12" t="s">
        <v>559</v>
      </c>
      <c r="D128" s="15" t="s">
        <v>506</v>
      </c>
      <c r="E128" s="85">
        <v>716034</v>
      </c>
      <c r="F128" s="909">
        <v>523386.5</v>
      </c>
      <c r="G128" s="220">
        <v>329324.583333333</v>
      </c>
      <c r="H128" s="911">
        <f t="shared" si="43"/>
        <v>852711.083333333</v>
      </c>
      <c r="I128" s="220">
        <f t="shared" si="44"/>
        <v>136677.083333333</v>
      </c>
      <c r="J128" s="916">
        <v>59136.2866666667</v>
      </c>
      <c r="K128" s="916">
        <f t="shared" si="46"/>
        <v>68216.8866666666</v>
      </c>
      <c r="L128" s="916">
        <f t="shared" si="45"/>
        <v>9080.59999999994</v>
      </c>
      <c r="M128" s="916">
        <v>9980.56666666667</v>
      </c>
      <c r="N128" s="916">
        <f>0.025*F128</f>
        <v>13084.6625</v>
      </c>
      <c r="O128" s="916">
        <f t="shared" si="35"/>
        <v>3104.09583333333</v>
      </c>
      <c r="P128" s="916">
        <f t="shared" si="47"/>
        <v>818602.639999999</v>
      </c>
      <c r="Q128" s="916">
        <f t="shared" si="48"/>
        <v>157015.95</v>
      </c>
    </row>
    <row r="129" customHeight="1" spans="1:17">
      <c r="A129" s="4">
        <v>4</v>
      </c>
      <c r="B129" s="11" t="s">
        <v>287</v>
      </c>
      <c r="C129" s="12" t="s">
        <v>289</v>
      </c>
      <c r="D129" s="15" t="s">
        <v>189</v>
      </c>
      <c r="E129" s="85">
        <v>484373.75</v>
      </c>
      <c r="F129" s="909">
        <v>366417.5</v>
      </c>
      <c r="G129" s="220">
        <v>223239.5</v>
      </c>
      <c r="H129" s="911">
        <f t="shared" si="43"/>
        <v>589657</v>
      </c>
      <c r="I129" s="220">
        <f t="shared" si="44"/>
        <v>105283.25</v>
      </c>
      <c r="J129" s="916">
        <v>37639.84</v>
      </c>
      <c r="K129" s="916">
        <f t="shared" si="46"/>
        <v>47172.56</v>
      </c>
      <c r="L129" s="916">
        <f t="shared" si="45"/>
        <v>9532.72</v>
      </c>
      <c r="M129" s="916">
        <v>0</v>
      </c>
      <c r="N129" s="916"/>
      <c r="O129" s="916">
        <f t="shared" si="35"/>
        <v>0</v>
      </c>
      <c r="P129" s="916">
        <f t="shared" si="47"/>
        <v>566070.72</v>
      </c>
      <c r="Q129" s="916">
        <f t="shared" si="48"/>
        <v>0</v>
      </c>
    </row>
    <row r="130" customHeight="1" spans="1:17">
      <c r="A130" s="4">
        <v>5</v>
      </c>
      <c r="B130" s="11" t="s">
        <v>288</v>
      </c>
      <c r="C130" s="12" t="s">
        <v>560</v>
      </c>
      <c r="D130" s="15" t="s">
        <v>212</v>
      </c>
      <c r="E130" s="85">
        <v>456622.25</v>
      </c>
      <c r="F130" s="909">
        <v>347715.916666667</v>
      </c>
      <c r="G130" s="220">
        <v>210449.333333333</v>
      </c>
      <c r="H130" s="911">
        <f t="shared" si="43"/>
        <v>558165.25</v>
      </c>
      <c r="I130" s="220">
        <f t="shared" si="44"/>
        <v>101543</v>
      </c>
      <c r="J130" s="916">
        <v>35419.72</v>
      </c>
      <c r="K130" s="916">
        <f t="shared" si="46"/>
        <v>44653.22</v>
      </c>
      <c r="L130" s="916">
        <f t="shared" si="45"/>
        <v>9233.5</v>
      </c>
      <c r="M130" s="916">
        <v>5967.30625</v>
      </c>
      <c r="N130" s="916">
        <f t="shared" ref="N130:N135" si="49">0.025*F130</f>
        <v>8692.89791666667</v>
      </c>
      <c r="O130" s="916">
        <f t="shared" si="35"/>
        <v>2725.59166666667</v>
      </c>
      <c r="P130" s="916">
        <f t="shared" si="47"/>
        <v>535838.64</v>
      </c>
      <c r="Q130" s="916">
        <f t="shared" si="48"/>
        <v>104314.775</v>
      </c>
    </row>
    <row r="131" customHeight="1" spans="1:17">
      <c r="A131" s="4">
        <v>6</v>
      </c>
      <c r="B131" s="11" t="s">
        <v>290</v>
      </c>
      <c r="C131" s="12" t="s">
        <v>289</v>
      </c>
      <c r="D131" s="15" t="s">
        <v>46</v>
      </c>
      <c r="E131" s="85">
        <v>470498</v>
      </c>
      <c r="F131" s="909">
        <v>357066.666666667</v>
      </c>
      <c r="G131" s="220">
        <v>216844.416666667</v>
      </c>
      <c r="H131" s="911">
        <f t="shared" si="43"/>
        <v>573911.083333334</v>
      </c>
      <c r="I131" s="220">
        <f t="shared" si="44"/>
        <v>103413.083333334</v>
      </c>
      <c r="J131" s="916">
        <v>36529.78</v>
      </c>
      <c r="K131" s="916">
        <f t="shared" si="46"/>
        <v>45912.8866666667</v>
      </c>
      <c r="L131" s="916">
        <f t="shared" si="45"/>
        <v>9383.10666666672</v>
      </c>
      <c r="M131" s="916">
        <v>6154.32291666667</v>
      </c>
      <c r="N131" s="916">
        <f t="shared" si="49"/>
        <v>8926.66666666668</v>
      </c>
      <c r="O131" s="916">
        <f t="shared" si="35"/>
        <v>2772.34375000001</v>
      </c>
      <c r="P131" s="916">
        <f t="shared" si="47"/>
        <v>550954.64</v>
      </c>
      <c r="Q131" s="916">
        <f t="shared" si="48"/>
        <v>107120</v>
      </c>
    </row>
    <row r="132" customHeight="1" spans="1:17">
      <c r="A132" s="4">
        <v>7</v>
      </c>
      <c r="B132" s="11" t="s">
        <v>293</v>
      </c>
      <c r="C132" s="12" t="s">
        <v>561</v>
      </c>
      <c r="D132" s="10" t="s">
        <v>85</v>
      </c>
      <c r="E132" s="85">
        <v>277798</v>
      </c>
      <c r="F132" s="909">
        <v>227615.75</v>
      </c>
      <c r="G132" s="220">
        <v>127704.916666667</v>
      </c>
      <c r="H132" s="911">
        <f t="shared" si="43"/>
        <v>355320.666666667</v>
      </c>
      <c r="I132" s="220">
        <f t="shared" si="44"/>
        <v>77522.666666667</v>
      </c>
      <c r="J132" s="916">
        <v>21638.5333333333</v>
      </c>
      <c r="K132" s="916">
        <f t="shared" si="46"/>
        <v>28425.6533333334</v>
      </c>
      <c r="L132" s="916">
        <f t="shared" si="45"/>
        <v>6787.12000000006</v>
      </c>
      <c r="M132" s="916"/>
      <c r="N132" s="916"/>
      <c r="O132" s="916">
        <f t="shared" si="35"/>
        <v>0</v>
      </c>
      <c r="P132" s="916">
        <f t="shared" si="47"/>
        <v>341107.840000001</v>
      </c>
      <c r="Q132" s="916">
        <f t="shared" si="48"/>
        <v>0</v>
      </c>
    </row>
    <row r="133" customHeight="1" spans="1:17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09">
        <v>196364.416666667</v>
      </c>
      <c r="G133" s="220">
        <v>105546.333333333</v>
      </c>
      <c r="H133" s="911">
        <f t="shared" si="43"/>
        <v>301910.75</v>
      </c>
      <c r="I133" s="220">
        <f t="shared" si="44"/>
        <v>71278.833333333</v>
      </c>
      <c r="J133" s="916">
        <v>17956.78</v>
      </c>
      <c r="K133" s="916">
        <f t="shared" si="46"/>
        <v>24152.86</v>
      </c>
      <c r="L133" s="916">
        <f t="shared" si="45"/>
        <v>6196.08</v>
      </c>
      <c r="M133" s="916">
        <v>0</v>
      </c>
      <c r="N133" s="916">
        <f>0.025*F133</f>
        <v>4909.11041666668</v>
      </c>
      <c r="O133" s="916">
        <f t="shared" si="35"/>
        <v>4909.11041666668</v>
      </c>
      <c r="P133" s="916">
        <f t="shared" si="47"/>
        <v>289834.32</v>
      </c>
      <c r="Q133" s="916">
        <f t="shared" si="48"/>
        <v>58909.3250000001</v>
      </c>
    </row>
    <row r="134" customHeight="1" spans="1:17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09">
        <v>196364.416666667</v>
      </c>
      <c r="G134" s="220">
        <v>105546.333333333</v>
      </c>
      <c r="H134" s="911">
        <f t="shared" si="43"/>
        <v>301910.75</v>
      </c>
      <c r="I134" s="220">
        <f t="shared" si="44"/>
        <v>71278.833333333</v>
      </c>
      <c r="J134" s="916">
        <v>17956.78</v>
      </c>
      <c r="K134" s="916">
        <f t="shared" si="46"/>
        <v>24152.86</v>
      </c>
      <c r="L134" s="916">
        <f t="shared" si="45"/>
        <v>6196.08</v>
      </c>
      <c r="M134" s="916">
        <v>0</v>
      </c>
      <c r="N134" s="916">
        <f t="shared" si="49"/>
        <v>4909.11041666668</v>
      </c>
      <c r="O134" s="916">
        <f t="shared" si="35"/>
        <v>4909.11041666668</v>
      </c>
      <c r="P134" s="916">
        <f t="shared" si="47"/>
        <v>289834.32</v>
      </c>
      <c r="Q134" s="916">
        <f t="shared" si="48"/>
        <v>58909.3250000001</v>
      </c>
    </row>
    <row r="135" customHeight="1" spans="1:17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09">
        <v>192179.416666667</v>
      </c>
      <c r="G135" s="919">
        <v>102721.416666667</v>
      </c>
      <c r="H135" s="920">
        <f t="shared" si="43"/>
        <v>294900.833333334</v>
      </c>
      <c r="I135" s="919">
        <f t="shared" si="44"/>
        <v>70441.083333334</v>
      </c>
      <c r="J135" s="922">
        <v>17463.0066666666</v>
      </c>
      <c r="K135" s="916">
        <f t="shared" si="46"/>
        <v>23592.0666666667</v>
      </c>
      <c r="L135" s="916">
        <f t="shared" si="45"/>
        <v>6129.06000000012</v>
      </c>
      <c r="M135" s="916"/>
      <c r="N135" s="916">
        <f t="shared" si="49"/>
        <v>4804.48541666668</v>
      </c>
      <c r="O135" s="916">
        <f t="shared" si="35"/>
        <v>4804.48541666668</v>
      </c>
      <c r="P135" s="916">
        <f t="shared" si="47"/>
        <v>283104.8</v>
      </c>
      <c r="Q135" s="916">
        <f t="shared" si="48"/>
        <v>57653.8250000001</v>
      </c>
    </row>
    <row r="136" ht="28.5" customHeight="1" spans="1:17">
      <c r="A136" s="4"/>
      <c r="B136" s="20" t="s">
        <v>120</v>
      </c>
      <c r="C136" s="26" t="s">
        <v>562</v>
      </c>
      <c r="D136" s="15"/>
      <c r="E136" s="146">
        <f t="shared" ref="E136:Q136" si="50">SUM(E126:E135)</f>
        <v>5289142.75</v>
      </c>
      <c r="F136" s="913">
        <f t="shared" si="50"/>
        <v>4048557.16666667</v>
      </c>
      <c r="G136" s="221">
        <f t="shared" si="50"/>
        <v>2432343.41666667</v>
      </c>
      <c r="H136" s="221">
        <f t="shared" si="50"/>
        <v>6480900.58333333</v>
      </c>
      <c r="I136" s="221">
        <f t="shared" si="50"/>
        <v>1191757.83333333</v>
      </c>
      <c r="J136" s="221">
        <f t="shared" si="50"/>
        <v>417734.613333333</v>
      </c>
      <c r="K136" s="221">
        <f t="shared" si="50"/>
        <v>518472.046666666</v>
      </c>
      <c r="L136" s="221">
        <f t="shared" si="50"/>
        <v>100737.433333333</v>
      </c>
      <c r="M136" s="221">
        <f t="shared" si="50"/>
        <v>51467.5291666667</v>
      </c>
      <c r="N136" s="221">
        <f t="shared" si="50"/>
        <v>86363.0979166667</v>
      </c>
      <c r="O136" s="221">
        <f t="shared" si="50"/>
        <v>34895.56875</v>
      </c>
      <c r="P136" s="221">
        <f t="shared" si="50"/>
        <v>6221664.56</v>
      </c>
      <c r="Q136" s="221">
        <f t="shared" si="50"/>
        <v>1036357.175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300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301</v>
      </c>
      <c r="C139" s="4" t="s">
        <v>302</v>
      </c>
      <c r="D139" s="10" t="s">
        <v>508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>F139+G139</f>
        <v>1647612</v>
      </c>
      <c r="I139" s="220">
        <f t="shared" ref="I136:I198" si="51">H139-E139</f>
        <v>295569.33333333</v>
      </c>
      <c r="J139" s="916">
        <v>114857.6</v>
      </c>
      <c r="K139" s="916">
        <f>H139*0.08</f>
        <v>131808.96</v>
      </c>
      <c r="L139" s="916">
        <f>K139-J139</f>
        <v>16951.36</v>
      </c>
      <c r="M139" s="916">
        <v>18254.975</v>
      </c>
      <c r="N139" s="916">
        <f>0.025*F139</f>
        <v>25644.2083333333</v>
      </c>
      <c r="O139" s="916">
        <f t="shared" ref="O137:O168" si="52">N139-M139</f>
        <v>7389.2333333333</v>
      </c>
      <c r="P139" s="916">
        <f>12*K139</f>
        <v>1581707.52</v>
      </c>
      <c r="Q139" s="916">
        <f>N139*12</f>
        <v>307730.499999999</v>
      </c>
    </row>
    <row r="140" customHeight="1" spans="1:17">
      <c r="A140" s="27">
        <v>2</v>
      </c>
      <c r="B140" s="14" t="s">
        <v>304</v>
      </c>
      <c r="C140" s="4" t="s">
        <v>305</v>
      </c>
      <c r="D140" s="16" t="s">
        <v>35</v>
      </c>
      <c r="E140" s="85">
        <v>762373.166666667</v>
      </c>
      <c r="F140" s="909">
        <v>554669.5</v>
      </c>
      <c r="G140" s="220">
        <v>350637.25</v>
      </c>
      <c r="H140" s="220">
        <f t="shared" ref="H140:H163" si="53">F140+G140</f>
        <v>905306.75</v>
      </c>
      <c r="I140" s="220">
        <f t="shared" si="51"/>
        <v>142933.583333333</v>
      </c>
      <c r="J140" s="916">
        <v>60989.8533333333</v>
      </c>
      <c r="K140" s="916">
        <f t="shared" ref="K140:K171" si="54">H140*0.08</f>
        <v>72424.54</v>
      </c>
      <c r="L140" s="916">
        <f t="shared" ref="L140:L171" si="55">K140-J140</f>
        <v>11434.6866666667</v>
      </c>
      <c r="M140" s="916">
        <v>10293.3979166667</v>
      </c>
      <c r="N140" s="916">
        <f>0.025*F140</f>
        <v>13866.7375</v>
      </c>
      <c r="O140" s="916">
        <f t="shared" si="52"/>
        <v>3573.3395833333</v>
      </c>
      <c r="P140" s="916">
        <f t="shared" ref="P140:P186" si="56">12*K140</f>
        <v>869094.48</v>
      </c>
      <c r="Q140" s="916">
        <f t="shared" ref="Q140:Q176" si="57">N140*12</f>
        <v>166400.85</v>
      </c>
    </row>
    <row r="141" customHeight="1" spans="1:17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220">
        <v>267732.833333333</v>
      </c>
      <c r="H141" s="220">
        <f t="shared" si="53"/>
        <v>700713.916666666</v>
      </c>
      <c r="I141" s="220">
        <f t="shared" si="51"/>
        <v>118595.833333333</v>
      </c>
      <c r="J141" s="916">
        <v>46569.45</v>
      </c>
      <c r="K141" s="916">
        <f t="shared" si="54"/>
        <v>56057.1133333333</v>
      </c>
      <c r="L141" s="916">
        <f t="shared" si="55"/>
        <v>9487.66333333329</v>
      </c>
      <c r="M141" s="916">
        <v>8380.22708333333</v>
      </c>
      <c r="N141" s="916">
        <f>0.025*F141</f>
        <v>10824.5270833333</v>
      </c>
      <c r="O141" s="916">
        <f t="shared" si="52"/>
        <v>2444.29999999997</v>
      </c>
      <c r="P141" s="916">
        <f t="shared" si="56"/>
        <v>672685.359999999</v>
      </c>
      <c r="Q141" s="916">
        <f t="shared" si="57"/>
        <v>129894.325</v>
      </c>
    </row>
    <row r="142" customHeight="1" spans="1:17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220">
        <v>267732.833333333</v>
      </c>
      <c r="H142" s="220">
        <f t="shared" si="53"/>
        <v>700713.916666666</v>
      </c>
      <c r="I142" s="220">
        <f t="shared" si="51"/>
        <v>118594.833333333</v>
      </c>
      <c r="J142" s="916">
        <v>46569.45</v>
      </c>
      <c r="K142" s="916">
        <f t="shared" si="54"/>
        <v>56057.1133333333</v>
      </c>
      <c r="L142" s="916">
        <f t="shared" si="55"/>
        <v>9487.66333333329</v>
      </c>
      <c r="M142" s="916">
        <v>8381.22708333333</v>
      </c>
      <c r="N142" s="916">
        <f>0.025*F142</f>
        <v>10824.5270833333</v>
      </c>
      <c r="O142" s="916">
        <f t="shared" si="52"/>
        <v>2443.29999999997</v>
      </c>
      <c r="P142" s="916">
        <f t="shared" si="56"/>
        <v>672685.359999999</v>
      </c>
      <c r="Q142" s="916">
        <f t="shared" si="57"/>
        <v>129894.325</v>
      </c>
    </row>
    <row r="143" customHeight="1" spans="1:17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220">
        <v>267732.833333333</v>
      </c>
      <c r="H143" s="220">
        <f t="shared" si="53"/>
        <v>700713.916666666</v>
      </c>
      <c r="I143" s="220">
        <f t="shared" si="51"/>
        <v>118593.833333333</v>
      </c>
      <c r="J143" s="916">
        <v>46569.45</v>
      </c>
      <c r="K143" s="916">
        <f t="shared" si="54"/>
        <v>56057.1133333333</v>
      </c>
      <c r="L143" s="916">
        <f t="shared" si="55"/>
        <v>9487.66333333329</v>
      </c>
      <c r="M143" s="916">
        <v>8382.22708333333</v>
      </c>
      <c r="N143" s="916">
        <f t="shared" ref="N143:N148" si="58">0.025*F143</f>
        <v>10824.5270833333</v>
      </c>
      <c r="O143" s="916">
        <f t="shared" si="52"/>
        <v>2442.3</v>
      </c>
      <c r="P143" s="916">
        <f t="shared" si="56"/>
        <v>672685.359999999</v>
      </c>
      <c r="Q143" s="916">
        <f t="shared" si="57"/>
        <v>129894.325</v>
      </c>
    </row>
    <row r="144" customHeight="1" spans="1:17">
      <c r="A144" s="27">
        <v>6</v>
      </c>
      <c r="B144" s="11" t="s">
        <v>313</v>
      </c>
      <c r="C144" s="12" t="s">
        <v>230</v>
      </c>
      <c r="D144" s="15" t="s">
        <v>66</v>
      </c>
      <c r="E144" s="85">
        <v>390248.916666667</v>
      </c>
      <c r="F144" s="909">
        <v>302987.416666667</v>
      </c>
      <c r="G144" s="220">
        <v>179859.166666667</v>
      </c>
      <c r="H144" s="220">
        <f t="shared" si="53"/>
        <v>482846.583333334</v>
      </c>
      <c r="I144" s="220">
        <f t="shared" si="51"/>
        <v>92597.666666667</v>
      </c>
      <c r="J144" s="916">
        <v>31219.91</v>
      </c>
      <c r="K144" s="916">
        <f t="shared" si="54"/>
        <v>38627.7266666667</v>
      </c>
      <c r="L144" s="916">
        <f t="shared" si="55"/>
        <v>7407.81666666672</v>
      </c>
      <c r="M144" s="916">
        <v>0</v>
      </c>
      <c r="N144" s="916"/>
      <c r="O144" s="916">
        <f t="shared" si="52"/>
        <v>0</v>
      </c>
      <c r="P144" s="916">
        <f t="shared" si="56"/>
        <v>463532.720000001</v>
      </c>
      <c r="Q144" s="916">
        <f t="shared" si="57"/>
        <v>0</v>
      </c>
    </row>
    <row r="145" customHeight="1" spans="1:17">
      <c r="A145" s="27">
        <v>7</v>
      </c>
      <c r="B145" s="11" t="s">
        <v>314</v>
      </c>
      <c r="C145" s="4" t="s">
        <v>563</v>
      </c>
      <c r="D145" s="15" t="s">
        <v>66</v>
      </c>
      <c r="E145" s="85">
        <v>390248.916666667</v>
      </c>
      <c r="F145" s="909">
        <v>302987.416666667</v>
      </c>
      <c r="G145" s="220">
        <v>179859.166666667</v>
      </c>
      <c r="H145" s="220">
        <f t="shared" si="53"/>
        <v>482846.583333334</v>
      </c>
      <c r="I145" s="220">
        <f t="shared" si="51"/>
        <v>92597.666666667</v>
      </c>
      <c r="J145" s="916">
        <v>31219.91</v>
      </c>
      <c r="K145" s="916">
        <f t="shared" si="54"/>
        <v>38627.7266666667</v>
      </c>
      <c r="L145" s="916">
        <f t="shared" si="55"/>
        <v>7407.81666666672</v>
      </c>
      <c r="M145" s="916">
        <v>0</v>
      </c>
      <c r="N145" s="916"/>
      <c r="O145" s="916">
        <f t="shared" si="52"/>
        <v>0</v>
      </c>
      <c r="P145" s="916">
        <f t="shared" si="56"/>
        <v>463532.720000001</v>
      </c>
      <c r="Q145" s="916">
        <f t="shared" si="57"/>
        <v>0</v>
      </c>
    </row>
    <row r="146" customHeight="1" spans="1:17">
      <c r="A146" s="27">
        <v>8</v>
      </c>
      <c r="B146" s="11" t="s">
        <v>316</v>
      </c>
      <c r="C146" s="12" t="s">
        <v>564</v>
      </c>
      <c r="D146" s="15" t="s">
        <v>170</v>
      </c>
      <c r="E146" s="85">
        <v>390086.5</v>
      </c>
      <c r="F146" s="909">
        <v>302878.666666667</v>
      </c>
      <c r="G146" s="220">
        <v>179784</v>
      </c>
      <c r="H146" s="220">
        <f t="shared" si="53"/>
        <v>482662.666666667</v>
      </c>
      <c r="I146" s="220">
        <f t="shared" si="51"/>
        <v>92576.166666667</v>
      </c>
      <c r="J146" s="916">
        <v>30231.6133333333</v>
      </c>
      <c r="K146" s="916">
        <f t="shared" si="54"/>
        <v>38613.0133333334</v>
      </c>
      <c r="L146" s="916">
        <f t="shared" si="55"/>
        <v>8381.40000000006</v>
      </c>
      <c r="M146" s="916">
        <v>0</v>
      </c>
      <c r="N146" s="916"/>
      <c r="O146" s="916">
        <f t="shared" si="52"/>
        <v>0</v>
      </c>
      <c r="P146" s="916">
        <f t="shared" si="56"/>
        <v>463356.16</v>
      </c>
      <c r="Q146" s="916">
        <f t="shared" si="57"/>
        <v>0</v>
      </c>
    </row>
    <row r="147" customHeight="1" spans="1:17">
      <c r="A147" s="27">
        <v>9</v>
      </c>
      <c r="B147" s="11" t="s">
        <v>318</v>
      </c>
      <c r="C147" s="12" t="s">
        <v>319</v>
      </c>
      <c r="D147" s="15" t="s">
        <v>69</v>
      </c>
      <c r="E147" s="85">
        <v>377895.166666667</v>
      </c>
      <c r="F147" s="909">
        <v>294662.916666667</v>
      </c>
      <c r="G147" s="220">
        <v>174165.25</v>
      </c>
      <c r="H147" s="220">
        <f t="shared" si="53"/>
        <v>468828.166666667</v>
      </c>
      <c r="I147" s="220">
        <f t="shared" si="51"/>
        <v>90933</v>
      </c>
      <c r="J147" s="916">
        <v>29256.3066666667</v>
      </c>
      <c r="K147" s="916">
        <f t="shared" si="54"/>
        <v>37506.2533333334</v>
      </c>
      <c r="L147" s="916">
        <f t="shared" si="55"/>
        <v>8249.94666666666</v>
      </c>
      <c r="M147" s="916">
        <v>4928.93333333333</v>
      </c>
      <c r="N147" s="916">
        <f t="shared" si="58"/>
        <v>7366.57291666668</v>
      </c>
      <c r="O147" s="916">
        <f t="shared" si="52"/>
        <v>2437.63958333335</v>
      </c>
      <c r="P147" s="916">
        <f t="shared" si="56"/>
        <v>450075.04</v>
      </c>
      <c r="Q147" s="916">
        <f t="shared" si="57"/>
        <v>88398.8750000001</v>
      </c>
    </row>
    <row r="148" customHeight="1" spans="1:17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09">
        <v>286447.083333333</v>
      </c>
      <c r="G148" s="220">
        <v>168546.5</v>
      </c>
      <c r="H148" s="220">
        <f t="shared" si="53"/>
        <v>454993.583333333</v>
      </c>
      <c r="I148" s="220">
        <f t="shared" si="51"/>
        <v>89289.75</v>
      </c>
      <c r="J148" s="916">
        <v>28281</v>
      </c>
      <c r="K148" s="916">
        <f t="shared" si="54"/>
        <v>36399.4866666666</v>
      </c>
      <c r="L148" s="916">
        <f t="shared" si="55"/>
        <v>8118.48666666664</v>
      </c>
      <c r="M148" s="916">
        <v>0</v>
      </c>
      <c r="N148" s="916">
        <f t="shared" si="58"/>
        <v>7161.17708333333</v>
      </c>
      <c r="O148" s="916">
        <f t="shared" si="52"/>
        <v>7161.17708333333</v>
      </c>
      <c r="P148" s="916">
        <f t="shared" si="56"/>
        <v>436793.84</v>
      </c>
      <c r="Q148" s="916">
        <f t="shared" si="57"/>
        <v>85934.1249999999</v>
      </c>
    </row>
    <row r="149" customHeight="1" spans="1:17">
      <c r="A149" s="27">
        <v>11</v>
      </c>
      <c r="B149" s="11" t="s">
        <v>322</v>
      </c>
      <c r="C149" s="4" t="s">
        <v>321</v>
      </c>
      <c r="D149" s="15" t="s">
        <v>504</v>
      </c>
      <c r="E149" s="220">
        <v>353512.5</v>
      </c>
      <c r="F149" s="909">
        <v>278231.25</v>
      </c>
      <c r="G149" s="220">
        <v>162927.75</v>
      </c>
      <c r="H149" s="220">
        <f t="shared" si="53"/>
        <v>441159</v>
      </c>
      <c r="I149" s="220">
        <f t="shared" si="51"/>
        <v>87646.5</v>
      </c>
      <c r="J149" s="916">
        <v>28281</v>
      </c>
      <c r="K149" s="916">
        <f t="shared" si="54"/>
        <v>35292.72</v>
      </c>
      <c r="L149" s="916">
        <f t="shared" si="55"/>
        <v>7011.72</v>
      </c>
      <c r="M149" s="916">
        <v>0</v>
      </c>
      <c r="N149" s="916"/>
      <c r="O149" s="916">
        <f t="shared" si="52"/>
        <v>0</v>
      </c>
      <c r="P149" s="916">
        <f t="shared" si="56"/>
        <v>423512.64</v>
      </c>
      <c r="Q149" s="916">
        <f t="shared" si="57"/>
        <v>0</v>
      </c>
    </row>
    <row r="150" customHeight="1" spans="1:17">
      <c r="A150" s="27">
        <v>12</v>
      </c>
      <c r="B150" s="11" t="s">
        <v>323</v>
      </c>
      <c r="C150" s="4" t="s">
        <v>321</v>
      </c>
      <c r="D150" s="15" t="s">
        <v>504</v>
      </c>
      <c r="E150" s="220">
        <v>353512.5</v>
      </c>
      <c r="F150" s="909">
        <v>278231.25</v>
      </c>
      <c r="G150" s="220">
        <v>162927.75</v>
      </c>
      <c r="H150" s="220">
        <f t="shared" si="53"/>
        <v>441159</v>
      </c>
      <c r="I150" s="220">
        <f t="shared" si="51"/>
        <v>87646.5</v>
      </c>
      <c r="J150" s="916">
        <v>28281</v>
      </c>
      <c r="K150" s="916">
        <f t="shared" si="54"/>
        <v>35292.72</v>
      </c>
      <c r="L150" s="916">
        <f t="shared" si="55"/>
        <v>7011.72</v>
      </c>
      <c r="M150" s="916">
        <v>4928.93333333333</v>
      </c>
      <c r="N150" s="916">
        <f t="shared" ref="N150:N155" si="59">0.025*F150</f>
        <v>6955.78125</v>
      </c>
      <c r="O150" s="916">
        <f t="shared" si="52"/>
        <v>2026.84791666667</v>
      </c>
      <c r="P150" s="916">
        <f t="shared" si="56"/>
        <v>423512.64</v>
      </c>
      <c r="Q150" s="916">
        <f t="shared" si="57"/>
        <v>83469.375</v>
      </c>
    </row>
    <row r="151" customHeight="1" spans="1:17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09">
        <v>286447.083333333</v>
      </c>
      <c r="G151" s="220">
        <v>168546.5</v>
      </c>
      <c r="H151" s="220">
        <f t="shared" si="53"/>
        <v>454993.583333333</v>
      </c>
      <c r="I151" s="220">
        <f t="shared" si="51"/>
        <v>89289.75</v>
      </c>
      <c r="J151" s="916">
        <v>28281</v>
      </c>
      <c r="K151" s="916">
        <f t="shared" si="54"/>
        <v>36399.4866666666</v>
      </c>
      <c r="L151" s="916">
        <f t="shared" si="55"/>
        <v>8118.48666666664</v>
      </c>
      <c r="M151" s="916">
        <v>0</v>
      </c>
      <c r="N151" s="916"/>
      <c r="O151" s="916">
        <f t="shared" si="52"/>
        <v>0</v>
      </c>
      <c r="P151" s="916">
        <f t="shared" si="56"/>
        <v>436793.84</v>
      </c>
      <c r="Q151" s="916">
        <f t="shared" si="57"/>
        <v>0</v>
      </c>
    </row>
    <row r="152" customHeight="1" spans="1:17">
      <c r="A152" s="27">
        <v>14</v>
      </c>
      <c r="B152" s="11" t="s">
        <v>326</v>
      </c>
      <c r="C152" s="12" t="s">
        <v>327</v>
      </c>
      <c r="D152" s="15" t="s">
        <v>77</v>
      </c>
      <c r="E152" s="220">
        <v>308901.5</v>
      </c>
      <c r="F152" s="909">
        <v>246171.166666667</v>
      </c>
      <c r="G152" s="220">
        <v>143964.666666667</v>
      </c>
      <c r="H152" s="220">
        <f t="shared" si="53"/>
        <v>390135.833333334</v>
      </c>
      <c r="I152" s="220">
        <f t="shared" si="51"/>
        <v>81234.333333334</v>
      </c>
      <c r="J152" s="916">
        <v>24077.2466666667</v>
      </c>
      <c r="K152" s="916">
        <f t="shared" si="54"/>
        <v>31210.8666666667</v>
      </c>
      <c r="L152" s="916">
        <f t="shared" si="55"/>
        <v>7133.62000000002</v>
      </c>
      <c r="M152" s="916">
        <v>0</v>
      </c>
      <c r="N152" s="916">
        <f t="shared" si="59"/>
        <v>6154.27916666668</v>
      </c>
      <c r="O152" s="916">
        <f t="shared" si="52"/>
        <v>6154.27916666668</v>
      </c>
      <c r="P152" s="916">
        <f t="shared" si="56"/>
        <v>374530.400000001</v>
      </c>
      <c r="Q152" s="916">
        <f t="shared" si="57"/>
        <v>73851.3500000001</v>
      </c>
    </row>
    <row r="153" customHeight="1" spans="1:17">
      <c r="A153" s="27">
        <v>15</v>
      </c>
      <c r="B153" s="11" t="s">
        <v>328</v>
      </c>
      <c r="C153" s="12" t="s">
        <v>329</v>
      </c>
      <c r="D153" s="10" t="s">
        <v>88</v>
      </c>
      <c r="E153" s="85">
        <v>270481.666666667</v>
      </c>
      <c r="F153" s="909">
        <v>222674.583333333</v>
      </c>
      <c r="G153" s="220">
        <v>124341.583333333</v>
      </c>
      <c r="H153" s="220">
        <f t="shared" si="53"/>
        <v>347016.166666666</v>
      </c>
      <c r="I153" s="220">
        <f t="shared" si="51"/>
        <v>76534.499999999</v>
      </c>
      <c r="J153" s="916">
        <v>21053.2266666667</v>
      </c>
      <c r="K153" s="916">
        <f t="shared" si="54"/>
        <v>27761.2933333333</v>
      </c>
      <c r="L153" s="916">
        <f t="shared" si="55"/>
        <v>6708.06666666658</v>
      </c>
      <c r="M153" s="916">
        <v>0</v>
      </c>
      <c r="N153" s="916">
        <f t="shared" ref="N153:N158" si="60">0.025*F153</f>
        <v>5566.86458333332</v>
      </c>
      <c r="O153" s="916">
        <f t="shared" si="52"/>
        <v>5566.86458333332</v>
      </c>
      <c r="P153" s="916">
        <f t="shared" si="56"/>
        <v>333135.519999999</v>
      </c>
      <c r="Q153" s="916">
        <f t="shared" si="57"/>
        <v>66802.3749999999</v>
      </c>
    </row>
    <row r="154" customHeight="1" spans="1:17">
      <c r="A154" s="27">
        <v>16</v>
      </c>
      <c r="B154" s="11" t="s">
        <v>330</v>
      </c>
      <c r="C154" s="12" t="s">
        <v>565</v>
      </c>
      <c r="D154" s="15" t="s">
        <v>151</v>
      </c>
      <c r="E154" s="220">
        <v>316837.416666667</v>
      </c>
      <c r="F154" s="909">
        <v>251467.916666667</v>
      </c>
      <c r="G154" s="220">
        <v>147663.25</v>
      </c>
      <c r="H154" s="220">
        <f t="shared" si="53"/>
        <v>399131.166666667</v>
      </c>
      <c r="I154" s="220">
        <f t="shared" si="51"/>
        <v>82293.7499999997</v>
      </c>
      <c r="J154" s="916">
        <v>24712.12</v>
      </c>
      <c r="K154" s="916">
        <f t="shared" si="54"/>
        <v>31930.4933333333</v>
      </c>
      <c r="L154" s="916">
        <f t="shared" si="55"/>
        <v>7218.37333333333</v>
      </c>
      <c r="M154" s="916">
        <v>0</v>
      </c>
      <c r="N154" s="916"/>
      <c r="O154" s="916">
        <f t="shared" si="52"/>
        <v>0</v>
      </c>
      <c r="P154" s="916">
        <f t="shared" si="56"/>
        <v>383165.92</v>
      </c>
      <c r="Q154" s="916">
        <f t="shared" si="57"/>
        <v>0</v>
      </c>
    </row>
    <row r="155" customHeight="1" spans="1:17">
      <c r="A155" s="27">
        <v>17</v>
      </c>
      <c r="B155" s="11" t="s">
        <v>332</v>
      </c>
      <c r="C155" s="12" t="s">
        <v>566</v>
      </c>
      <c r="D155" s="15" t="s">
        <v>85</v>
      </c>
      <c r="E155" s="220">
        <v>277798</v>
      </c>
      <c r="F155" s="909">
        <v>227615.75</v>
      </c>
      <c r="G155" s="220">
        <v>127704.916666667</v>
      </c>
      <c r="H155" s="220">
        <f t="shared" si="53"/>
        <v>355320.666666667</v>
      </c>
      <c r="I155" s="220">
        <f t="shared" si="51"/>
        <v>77522.666666667</v>
      </c>
      <c r="J155" s="916">
        <v>21638.5333333333</v>
      </c>
      <c r="K155" s="916">
        <f t="shared" si="54"/>
        <v>28425.6533333334</v>
      </c>
      <c r="L155" s="916">
        <f t="shared" si="55"/>
        <v>6787.12000000006</v>
      </c>
      <c r="M155" s="916">
        <v>0</v>
      </c>
      <c r="N155" s="916">
        <f t="shared" si="59"/>
        <v>5690.39375</v>
      </c>
      <c r="O155" s="916">
        <f t="shared" si="52"/>
        <v>5690.39375</v>
      </c>
      <c r="P155" s="916">
        <f t="shared" si="56"/>
        <v>341107.84</v>
      </c>
      <c r="Q155" s="916">
        <f t="shared" si="57"/>
        <v>68284.725</v>
      </c>
    </row>
    <row r="156" customHeight="1" spans="1:17">
      <c r="A156" s="27">
        <v>18</v>
      </c>
      <c r="B156" s="11" t="s">
        <v>334</v>
      </c>
      <c r="C156" s="12" t="s">
        <v>567</v>
      </c>
      <c r="D156" s="15" t="s">
        <v>151</v>
      </c>
      <c r="E156" s="220">
        <v>316837.416666667</v>
      </c>
      <c r="F156" s="909">
        <v>251467.916666667</v>
      </c>
      <c r="G156" s="220">
        <v>147663.25</v>
      </c>
      <c r="H156" s="220">
        <f t="shared" si="53"/>
        <v>399131.166666667</v>
      </c>
      <c r="I156" s="220">
        <f t="shared" si="51"/>
        <v>82293.7499999997</v>
      </c>
      <c r="J156" s="916">
        <v>24712.12</v>
      </c>
      <c r="K156" s="916">
        <f t="shared" si="54"/>
        <v>31930.4933333333</v>
      </c>
      <c r="L156" s="916">
        <f t="shared" si="55"/>
        <v>7218.37333333333</v>
      </c>
      <c r="M156" s="916">
        <v>4123.42083333333</v>
      </c>
      <c r="N156" s="916">
        <f t="shared" si="60"/>
        <v>6286.69791666667</v>
      </c>
      <c r="O156" s="916">
        <f t="shared" si="52"/>
        <v>2163.27708333334</v>
      </c>
      <c r="P156" s="916">
        <f t="shared" si="56"/>
        <v>383165.92</v>
      </c>
      <c r="Q156" s="916">
        <f t="shared" si="57"/>
        <v>75440.375</v>
      </c>
    </row>
    <row r="157" customHeight="1" spans="1:17">
      <c r="A157" s="27">
        <v>19</v>
      </c>
      <c r="B157" s="11" t="s">
        <v>335</v>
      </c>
      <c r="C157" s="12" t="s">
        <v>568</v>
      </c>
      <c r="D157" s="15" t="s">
        <v>85</v>
      </c>
      <c r="E157" s="220">
        <v>277798</v>
      </c>
      <c r="F157" s="909">
        <v>227615.75</v>
      </c>
      <c r="G157" s="220">
        <v>127704.916666667</v>
      </c>
      <c r="H157" s="220">
        <f t="shared" si="53"/>
        <v>355320.666666667</v>
      </c>
      <c r="I157" s="220">
        <f t="shared" si="51"/>
        <v>77522.666666667</v>
      </c>
      <c r="J157" s="916">
        <v>21638.5333333333</v>
      </c>
      <c r="K157" s="916">
        <f t="shared" si="54"/>
        <v>28425.6533333334</v>
      </c>
      <c r="L157" s="916">
        <f t="shared" si="55"/>
        <v>6787.12000000006</v>
      </c>
      <c r="M157" s="916">
        <v>0</v>
      </c>
      <c r="N157" s="916"/>
      <c r="O157" s="916">
        <f t="shared" si="52"/>
        <v>0</v>
      </c>
      <c r="P157" s="916">
        <f t="shared" si="56"/>
        <v>341107.84</v>
      </c>
      <c r="Q157" s="916">
        <f t="shared" si="57"/>
        <v>0</v>
      </c>
    </row>
    <row r="158" customHeight="1" spans="1:17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09">
        <v>217733.416666667</v>
      </c>
      <c r="G158" s="220">
        <v>120978.25</v>
      </c>
      <c r="H158" s="220">
        <f t="shared" si="53"/>
        <v>338711.666666667</v>
      </c>
      <c r="I158" s="220">
        <f t="shared" si="51"/>
        <v>75546.333333334</v>
      </c>
      <c r="J158" s="916">
        <v>20467.92</v>
      </c>
      <c r="K158" s="916">
        <f t="shared" si="54"/>
        <v>27096.9333333334</v>
      </c>
      <c r="L158" s="916">
        <f t="shared" si="55"/>
        <v>6629.01333333336</v>
      </c>
      <c r="M158" s="916">
        <v>0</v>
      </c>
      <c r="N158" s="916">
        <f t="shared" si="60"/>
        <v>5443.33541666668</v>
      </c>
      <c r="O158" s="916">
        <f t="shared" si="52"/>
        <v>5443.33541666668</v>
      </c>
      <c r="P158" s="916">
        <f t="shared" si="56"/>
        <v>325163.2</v>
      </c>
      <c r="Q158" s="916">
        <f t="shared" si="57"/>
        <v>65320.0250000001</v>
      </c>
    </row>
    <row r="159" customHeight="1" spans="1:17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09">
        <v>217733.416666667</v>
      </c>
      <c r="G159" s="220">
        <v>120978.25</v>
      </c>
      <c r="H159" s="220">
        <f t="shared" si="53"/>
        <v>338711.666666667</v>
      </c>
      <c r="I159" s="220">
        <f t="shared" si="51"/>
        <v>75546.333333334</v>
      </c>
      <c r="J159" s="916">
        <v>20467.92</v>
      </c>
      <c r="K159" s="916">
        <f t="shared" si="54"/>
        <v>27096.9333333334</v>
      </c>
      <c r="L159" s="916">
        <f t="shared" si="55"/>
        <v>6629.01333333336</v>
      </c>
      <c r="M159" s="916">
        <v>0</v>
      </c>
      <c r="N159" s="916"/>
      <c r="O159" s="916">
        <f t="shared" si="52"/>
        <v>0</v>
      </c>
      <c r="P159" s="916">
        <f t="shared" si="56"/>
        <v>325163.2</v>
      </c>
      <c r="Q159" s="916">
        <f t="shared" si="57"/>
        <v>0</v>
      </c>
    </row>
    <row r="160" customHeight="1" spans="1:17">
      <c r="A160" s="27">
        <v>22</v>
      </c>
      <c r="B160" s="18" t="s">
        <v>345</v>
      </c>
      <c r="C160" s="12" t="s">
        <v>346</v>
      </c>
      <c r="D160" s="15" t="s">
        <v>108</v>
      </c>
      <c r="E160" s="85">
        <v>230631.916666667</v>
      </c>
      <c r="F160" s="909">
        <v>196364.416666667</v>
      </c>
      <c r="G160" s="220">
        <v>105546.333333333</v>
      </c>
      <c r="H160" s="220">
        <f t="shared" si="53"/>
        <v>301910.75</v>
      </c>
      <c r="I160" s="220">
        <f t="shared" si="51"/>
        <v>71278.833333333</v>
      </c>
      <c r="J160" s="916">
        <v>17956.78</v>
      </c>
      <c r="K160" s="916">
        <f t="shared" si="54"/>
        <v>24152.86</v>
      </c>
      <c r="L160" s="916">
        <f t="shared" si="55"/>
        <v>6196.08</v>
      </c>
      <c r="M160" s="916">
        <v>0</v>
      </c>
      <c r="N160" s="916"/>
      <c r="O160" s="916">
        <f t="shared" si="52"/>
        <v>0</v>
      </c>
      <c r="P160" s="916">
        <f t="shared" si="56"/>
        <v>289834.32</v>
      </c>
      <c r="Q160" s="916">
        <f t="shared" si="57"/>
        <v>0</v>
      </c>
    </row>
    <row r="161" customHeight="1" spans="1:17">
      <c r="A161" s="27">
        <v>23</v>
      </c>
      <c r="B161" s="18" t="s">
        <v>347</v>
      </c>
      <c r="C161" s="12" t="s">
        <v>348</v>
      </c>
      <c r="D161" s="15" t="s">
        <v>108</v>
      </c>
      <c r="E161" s="85">
        <v>230631.916666667</v>
      </c>
      <c r="F161" s="909">
        <v>196364.416666667</v>
      </c>
      <c r="G161" s="220">
        <v>105546.333333333</v>
      </c>
      <c r="H161" s="220">
        <f t="shared" si="53"/>
        <v>301910.75</v>
      </c>
      <c r="I161" s="220">
        <f t="shared" si="51"/>
        <v>71278.833333333</v>
      </c>
      <c r="J161" s="916">
        <v>17956.78</v>
      </c>
      <c r="K161" s="916">
        <f t="shared" si="54"/>
        <v>24152.86</v>
      </c>
      <c r="L161" s="916">
        <f t="shared" si="55"/>
        <v>6196.08</v>
      </c>
      <c r="M161" s="916">
        <v>0</v>
      </c>
      <c r="N161" s="916">
        <f t="shared" ref="N161:N164" si="61">0.025*F161</f>
        <v>4909.11041666668</v>
      </c>
      <c r="O161" s="916">
        <f t="shared" si="52"/>
        <v>4909.11041666668</v>
      </c>
      <c r="P161" s="916">
        <f t="shared" si="56"/>
        <v>289834.32</v>
      </c>
      <c r="Q161" s="916">
        <f t="shared" si="57"/>
        <v>58909.3250000001</v>
      </c>
    </row>
    <row r="162" customHeight="1" spans="1:17">
      <c r="A162" s="27">
        <v>24</v>
      </c>
      <c r="B162" s="18" t="s">
        <v>349</v>
      </c>
      <c r="C162" s="12" t="s">
        <v>350</v>
      </c>
      <c r="D162" s="15" t="s">
        <v>108</v>
      </c>
      <c r="E162" s="85">
        <v>230631.916666667</v>
      </c>
      <c r="F162" s="909">
        <v>196364.416666667</v>
      </c>
      <c r="G162" s="220">
        <v>105546.333333333</v>
      </c>
      <c r="H162" s="220">
        <f t="shared" si="53"/>
        <v>301910.75</v>
      </c>
      <c r="I162" s="220">
        <f t="shared" si="51"/>
        <v>71278.833333333</v>
      </c>
      <c r="J162" s="916">
        <v>17956.78</v>
      </c>
      <c r="K162" s="916">
        <f t="shared" si="54"/>
        <v>24152.86</v>
      </c>
      <c r="L162" s="916">
        <f t="shared" si="55"/>
        <v>6196.08</v>
      </c>
      <c r="M162" s="916">
        <v>0</v>
      </c>
      <c r="N162" s="916">
        <f t="shared" si="61"/>
        <v>4909.11041666668</v>
      </c>
      <c r="O162" s="916">
        <f t="shared" si="52"/>
        <v>4909.11041666668</v>
      </c>
      <c r="P162" s="916">
        <f t="shared" si="56"/>
        <v>289834.32</v>
      </c>
      <c r="Q162" s="916">
        <f t="shared" si="57"/>
        <v>58909.3250000001</v>
      </c>
    </row>
    <row r="163" customHeight="1" spans="1:17">
      <c r="A163" s="27">
        <v>25</v>
      </c>
      <c r="B163" s="18" t="s">
        <v>351</v>
      </c>
      <c r="C163" s="12" t="s">
        <v>569</v>
      </c>
      <c r="D163" s="15" t="s">
        <v>105</v>
      </c>
      <c r="E163" s="85">
        <v>236804.083333333</v>
      </c>
      <c r="F163" s="909">
        <v>200549.416666667</v>
      </c>
      <c r="G163" s="220">
        <v>108371.25</v>
      </c>
      <c r="H163" s="220">
        <f t="shared" si="53"/>
        <v>308920.666666667</v>
      </c>
      <c r="I163" s="220">
        <f t="shared" si="51"/>
        <v>72116.583333334</v>
      </c>
      <c r="J163" s="916">
        <v>18450.5533333333</v>
      </c>
      <c r="K163" s="916">
        <f t="shared" si="54"/>
        <v>24713.6533333334</v>
      </c>
      <c r="L163" s="916">
        <f t="shared" si="55"/>
        <v>6263.10000000006</v>
      </c>
      <c r="M163" s="916">
        <v>0</v>
      </c>
      <c r="N163" s="916">
        <f t="shared" si="61"/>
        <v>5013.73541666668</v>
      </c>
      <c r="O163" s="916">
        <f t="shared" si="52"/>
        <v>5013.73541666668</v>
      </c>
      <c r="P163" s="916">
        <f t="shared" si="56"/>
        <v>296563.84</v>
      </c>
      <c r="Q163" s="916">
        <f t="shared" si="57"/>
        <v>60164.8250000001</v>
      </c>
    </row>
    <row r="164" customHeight="1" spans="1:17">
      <c r="A164" s="27">
        <v>26</v>
      </c>
      <c r="B164" s="18" t="s">
        <v>352</v>
      </c>
      <c r="C164" s="12" t="s">
        <v>348</v>
      </c>
      <c r="D164" s="15" t="s">
        <v>108</v>
      </c>
      <c r="E164" s="85">
        <v>230631.916666667</v>
      </c>
      <c r="F164" s="909">
        <v>196364.416666667</v>
      </c>
      <c r="G164" s="220">
        <v>105546.333333333</v>
      </c>
      <c r="H164" s="220">
        <f t="shared" ref="H164:H181" si="62">F164+G164</f>
        <v>301910.75</v>
      </c>
      <c r="I164" s="220">
        <f t="shared" si="51"/>
        <v>71278.833333333</v>
      </c>
      <c r="J164" s="916">
        <v>17956.78</v>
      </c>
      <c r="K164" s="916">
        <f t="shared" si="54"/>
        <v>24152.86</v>
      </c>
      <c r="L164" s="916">
        <f t="shared" si="55"/>
        <v>6196.08</v>
      </c>
      <c r="M164" s="916">
        <v>0</v>
      </c>
      <c r="N164" s="916">
        <f t="shared" si="61"/>
        <v>4909.11041666668</v>
      </c>
      <c r="O164" s="916">
        <f t="shared" si="52"/>
        <v>4909.11041666668</v>
      </c>
      <c r="P164" s="916">
        <f t="shared" si="56"/>
        <v>289834.32</v>
      </c>
      <c r="Q164" s="916">
        <f t="shared" si="57"/>
        <v>58909.3250000001</v>
      </c>
    </row>
    <row r="165" customHeight="1" spans="1:17">
      <c r="A165" s="27">
        <v>27</v>
      </c>
      <c r="B165" s="18" t="s">
        <v>353</v>
      </c>
      <c r="C165" s="12" t="s">
        <v>354</v>
      </c>
      <c r="D165" s="15" t="s">
        <v>111</v>
      </c>
      <c r="E165" s="676">
        <v>224459.75</v>
      </c>
      <c r="F165" s="909">
        <v>192179.416666667</v>
      </c>
      <c r="G165" s="220">
        <v>102721.416666667</v>
      </c>
      <c r="H165" s="220">
        <f t="shared" si="62"/>
        <v>294900.833333334</v>
      </c>
      <c r="I165" s="220">
        <f t="shared" si="51"/>
        <v>70441.083333334</v>
      </c>
      <c r="J165" s="916">
        <v>17463.0066666666</v>
      </c>
      <c r="K165" s="916">
        <f t="shared" si="54"/>
        <v>23592.0666666667</v>
      </c>
      <c r="L165" s="916">
        <f t="shared" si="55"/>
        <v>6129.06000000012</v>
      </c>
      <c r="M165" s="916"/>
      <c r="N165" s="916"/>
      <c r="O165" s="916">
        <f t="shared" si="52"/>
        <v>0</v>
      </c>
      <c r="P165" s="916">
        <f t="shared" si="56"/>
        <v>283104.8</v>
      </c>
      <c r="Q165" s="916">
        <f t="shared" si="57"/>
        <v>0</v>
      </c>
    </row>
    <row r="166" customHeight="1" spans="1:17">
      <c r="A166" s="27">
        <v>28</v>
      </c>
      <c r="B166" s="18" t="s">
        <v>355</v>
      </c>
      <c r="C166" s="12" t="s">
        <v>354</v>
      </c>
      <c r="D166" s="15" t="s">
        <v>111</v>
      </c>
      <c r="E166" s="676">
        <v>224459.75</v>
      </c>
      <c r="F166" s="909">
        <v>192179.416666667</v>
      </c>
      <c r="G166" s="220">
        <v>102721.416666667</v>
      </c>
      <c r="H166" s="220">
        <f t="shared" si="62"/>
        <v>294900.833333334</v>
      </c>
      <c r="I166" s="220">
        <f t="shared" si="51"/>
        <v>70441.083333334</v>
      </c>
      <c r="J166" s="916">
        <v>17463.0066666666</v>
      </c>
      <c r="K166" s="916">
        <f t="shared" si="54"/>
        <v>23592.0666666667</v>
      </c>
      <c r="L166" s="916">
        <f t="shared" si="55"/>
        <v>6129.06000000012</v>
      </c>
      <c r="M166" s="916"/>
      <c r="N166" s="916"/>
      <c r="O166" s="916">
        <f t="shared" si="52"/>
        <v>0</v>
      </c>
      <c r="P166" s="916">
        <f t="shared" si="56"/>
        <v>283104.8</v>
      </c>
      <c r="Q166" s="916">
        <f t="shared" si="57"/>
        <v>0</v>
      </c>
    </row>
    <row r="167" customHeight="1" spans="1:17">
      <c r="A167" s="27">
        <v>29</v>
      </c>
      <c r="B167" s="11" t="s">
        <v>361</v>
      </c>
      <c r="C167" s="12" t="s">
        <v>362</v>
      </c>
      <c r="D167" s="15" t="s">
        <v>375</v>
      </c>
      <c r="E167" s="226">
        <v>173859.5</v>
      </c>
      <c r="F167" s="921">
        <v>159288.583333333</v>
      </c>
      <c r="G167" s="220">
        <v>78428.5833333333</v>
      </c>
      <c r="H167" s="220">
        <f t="shared" si="62"/>
        <v>237717.166666666</v>
      </c>
      <c r="I167" s="220">
        <f t="shared" si="51"/>
        <v>63857.666666666</v>
      </c>
      <c r="J167" s="916">
        <v>13487.8533333333</v>
      </c>
      <c r="K167" s="916">
        <f t="shared" si="54"/>
        <v>19017.3733333333</v>
      </c>
      <c r="L167" s="916">
        <f t="shared" si="55"/>
        <v>5529.51999999998</v>
      </c>
      <c r="M167" s="916">
        <v>2313.575</v>
      </c>
      <c r="N167" s="916">
        <f>0.025*F167</f>
        <v>3982.21458333333</v>
      </c>
      <c r="O167" s="916">
        <f t="shared" si="52"/>
        <v>1668.63958333333</v>
      </c>
      <c r="P167" s="916">
        <f t="shared" si="56"/>
        <v>228208.48</v>
      </c>
      <c r="Q167" s="916">
        <f t="shared" si="57"/>
        <v>47786.575</v>
      </c>
    </row>
    <row r="168" customHeight="1" spans="1:17">
      <c r="A168" s="27">
        <v>30</v>
      </c>
      <c r="B168" s="11" t="s">
        <v>364</v>
      </c>
      <c r="C168" s="12" t="s">
        <v>362</v>
      </c>
      <c r="D168" s="15" t="s">
        <v>375</v>
      </c>
      <c r="E168" s="226">
        <v>173859.5</v>
      </c>
      <c r="F168" s="921">
        <v>159288.583333333</v>
      </c>
      <c r="G168" s="220">
        <v>78428.5833333333</v>
      </c>
      <c r="H168" s="220">
        <f t="shared" si="62"/>
        <v>237717.166666666</v>
      </c>
      <c r="I168" s="220">
        <f t="shared" si="51"/>
        <v>63857.666666666</v>
      </c>
      <c r="J168" s="916">
        <v>13487.8533333333</v>
      </c>
      <c r="K168" s="916">
        <f t="shared" si="54"/>
        <v>19017.3733333333</v>
      </c>
      <c r="L168" s="916">
        <f t="shared" si="55"/>
        <v>5529.51999999998</v>
      </c>
      <c r="M168" s="916">
        <v>0</v>
      </c>
      <c r="N168" s="916"/>
      <c r="O168" s="916">
        <f t="shared" si="52"/>
        <v>0</v>
      </c>
      <c r="P168" s="916">
        <f t="shared" si="56"/>
        <v>228208.48</v>
      </c>
      <c r="Q168" s="916">
        <f t="shared" si="57"/>
        <v>0</v>
      </c>
    </row>
    <row r="169" customHeight="1" spans="1:17">
      <c r="A169" s="27">
        <v>31</v>
      </c>
      <c r="B169" s="11" t="s">
        <v>570</v>
      </c>
      <c r="C169" s="12" t="s">
        <v>362</v>
      </c>
      <c r="D169" s="15" t="s">
        <v>375</v>
      </c>
      <c r="E169" s="226">
        <v>173859.5</v>
      </c>
      <c r="F169" s="921">
        <v>159288.583333333</v>
      </c>
      <c r="G169" s="220">
        <v>78428.5833333333</v>
      </c>
      <c r="H169" s="220">
        <f t="shared" si="62"/>
        <v>237717.166666666</v>
      </c>
      <c r="I169" s="220">
        <f t="shared" si="51"/>
        <v>63857.666666666</v>
      </c>
      <c r="J169" s="916">
        <v>13487.8533333333</v>
      </c>
      <c r="K169" s="916">
        <f t="shared" si="54"/>
        <v>19017.3733333333</v>
      </c>
      <c r="L169" s="916">
        <f t="shared" si="55"/>
        <v>5529.51999999998</v>
      </c>
      <c r="M169" s="916">
        <v>0</v>
      </c>
      <c r="N169" s="916"/>
      <c r="O169" s="916">
        <f t="shared" ref="O169:O199" si="63">N169-M169</f>
        <v>0</v>
      </c>
      <c r="P169" s="916">
        <f t="shared" si="56"/>
        <v>228208.48</v>
      </c>
      <c r="Q169" s="916">
        <f t="shared" si="57"/>
        <v>0</v>
      </c>
    </row>
    <row r="170" customHeight="1" spans="1:17">
      <c r="A170" s="27">
        <v>32</v>
      </c>
      <c r="B170" s="11" t="s">
        <v>365</v>
      </c>
      <c r="C170" s="12" t="s">
        <v>362</v>
      </c>
      <c r="D170" s="15" t="s">
        <v>375</v>
      </c>
      <c r="E170" s="226">
        <v>173859.5</v>
      </c>
      <c r="F170" s="921">
        <v>159288.583333333</v>
      </c>
      <c r="G170" s="220">
        <v>78428.5833333333</v>
      </c>
      <c r="H170" s="220">
        <f t="shared" si="62"/>
        <v>237717.166666666</v>
      </c>
      <c r="I170" s="220">
        <f t="shared" si="51"/>
        <v>63857.666666666</v>
      </c>
      <c r="J170" s="916">
        <v>13487.8533333333</v>
      </c>
      <c r="K170" s="916">
        <f t="shared" si="54"/>
        <v>19017.3733333333</v>
      </c>
      <c r="L170" s="916">
        <f t="shared" si="55"/>
        <v>5529.51999999998</v>
      </c>
      <c r="M170" s="916">
        <v>2313.575</v>
      </c>
      <c r="N170" s="916">
        <v>3982.21458333333</v>
      </c>
      <c r="O170" s="916">
        <f t="shared" si="63"/>
        <v>1668.63958333333</v>
      </c>
      <c r="P170" s="916">
        <f t="shared" si="56"/>
        <v>228208.48</v>
      </c>
      <c r="Q170" s="916">
        <f t="shared" si="57"/>
        <v>47786.575</v>
      </c>
    </row>
    <row r="171" customHeight="1" spans="1:17">
      <c r="A171" s="27">
        <v>33</v>
      </c>
      <c r="B171" s="11" t="s">
        <v>366</v>
      </c>
      <c r="C171" s="12" t="s">
        <v>362</v>
      </c>
      <c r="D171" s="15" t="s">
        <v>375</v>
      </c>
      <c r="E171" s="226">
        <v>173859.5</v>
      </c>
      <c r="F171" s="921">
        <v>159288.583333333</v>
      </c>
      <c r="G171" s="220">
        <v>78428.5833333333</v>
      </c>
      <c r="H171" s="220">
        <f t="shared" si="62"/>
        <v>237717.166666666</v>
      </c>
      <c r="I171" s="220">
        <f t="shared" si="51"/>
        <v>63857.666666666</v>
      </c>
      <c r="J171" s="916">
        <v>13487.8533333333</v>
      </c>
      <c r="K171" s="916">
        <f t="shared" si="54"/>
        <v>19017.3733333333</v>
      </c>
      <c r="L171" s="916">
        <f t="shared" si="55"/>
        <v>5529.51999999998</v>
      </c>
      <c r="M171" s="916"/>
      <c r="N171" s="916"/>
      <c r="O171" s="916">
        <f t="shared" si="63"/>
        <v>0</v>
      </c>
      <c r="P171" s="916">
        <f t="shared" si="56"/>
        <v>228208.48</v>
      </c>
      <c r="Q171" s="916">
        <f t="shared" si="57"/>
        <v>0</v>
      </c>
    </row>
    <row r="172" customHeight="1" spans="1:17">
      <c r="A172" s="27">
        <v>34</v>
      </c>
      <c r="B172" s="11" t="s">
        <v>367</v>
      </c>
      <c r="C172" s="12" t="s">
        <v>362</v>
      </c>
      <c r="D172" s="15" t="s">
        <v>388</v>
      </c>
      <c r="E172" s="226">
        <v>168598.166666667</v>
      </c>
      <c r="F172" s="921">
        <v>155678.666666667</v>
      </c>
      <c r="G172" s="220">
        <v>76055.1666666667</v>
      </c>
      <c r="H172" s="220">
        <f t="shared" si="62"/>
        <v>231733.833333334</v>
      </c>
      <c r="I172" s="220">
        <f t="shared" si="51"/>
        <v>63135.666666667</v>
      </c>
      <c r="J172" s="916">
        <v>13066.9466666667</v>
      </c>
      <c r="K172" s="916">
        <f t="shared" ref="K172:K198" si="64">H172*0.08</f>
        <v>18538.7066666667</v>
      </c>
      <c r="L172" s="916">
        <f t="shared" ref="L172:L198" si="65">K172-J172</f>
        <v>5471.76000000002</v>
      </c>
      <c r="M172" s="916"/>
      <c r="N172" s="916"/>
      <c r="O172" s="916">
        <f t="shared" si="63"/>
        <v>0</v>
      </c>
      <c r="P172" s="916">
        <f t="shared" si="56"/>
        <v>222464.48</v>
      </c>
      <c r="Q172" s="916">
        <f t="shared" si="57"/>
        <v>0</v>
      </c>
    </row>
    <row r="173" customHeight="1" spans="1:17">
      <c r="A173" s="27">
        <v>35</v>
      </c>
      <c r="B173" s="11" t="s">
        <v>369</v>
      </c>
      <c r="C173" s="12" t="s">
        <v>362</v>
      </c>
      <c r="D173" s="15" t="s">
        <v>388</v>
      </c>
      <c r="E173" s="226">
        <v>168598.166666667</v>
      </c>
      <c r="F173" s="921">
        <v>155678.666666667</v>
      </c>
      <c r="G173" s="220">
        <v>76055.1666666667</v>
      </c>
      <c r="H173" s="220">
        <f t="shared" si="62"/>
        <v>231733.833333334</v>
      </c>
      <c r="I173" s="220">
        <f t="shared" si="51"/>
        <v>63135.666666667</v>
      </c>
      <c r="J173" s="916">
        <v>13066.9466666667</v>
      </c>
      <c r="K173" s="916">
        <f t="shared" si="64"/>
        <v>18538.7066666667</v>
      </c>
      <c r="L173" s="916">
        <f t="shared" si="65"/>
        <v>5471.76000000002</v>
      </c>
      <c r="M173" s="916"/>
      <c r="N173" s="916"/>
      <c r="O173" s="916">
        <f t="shared" si="63"/>
        <v>0</v>
      </c>
      <c r="P173" s="916">
        <f t="shared" si="56"/>
        <v>222464.48</v>
      </c>
      <c r="Q173" s="916">
        <f t="shared" si="57"/>
        <v>0</v>
      </c>
    </row>
    <row r="174" customHeight="1" spans="1:17">
      <c r="A174" s="27">
        <v>36</v>
      </c>
      <c r="B174" s="14" t="s">
        <v>370</v>
      </c>
      <c r="C174" s="12" t="s">
        <v>362</v>
      </c>
      <c r="D174" s="15" t="s">
        <v>388</v>
      </c>
      <c r="E174" s="226">
        <v>168598.166666667</v>
      </c>
      <c r="F174" s="921">
        <v>155678.666666667</v>
      </c>
      <c r="G174" s="220">
        <v>76055.1666666667</v>
      </c>
      <c r="H174" s="220">
        <f t="shared" si="62"/>
        <v>231733.833333334</v>
      </c>
      <c r="I174" s="220">
        <f t="shared" si="51"/>
        <v>63135.666666667</v>
      </c>
      <c r="J174" s="916">
        <v>13066.9466666667</v>
      </c>
      <c r="K174" s="916">
        <f t="shared" si="64"/>
        <v>18538.7066666667</v>
      </c>
      <c r="L174" s="916">
        <f t="shared" si="65"/>
        <v>5471.76000000002</v>
      </c>
      <c r="M174" s="916"/>
      <c r="N174" s="916"/>
      <c r="O174" s="916">
        <f t="shared" si="63"/>
        <v>0</v>
      </c>
      <c r="P174" s="916">
        <f t="shared" si="56"/>
        <v>222464.48</v>
      </c>
      <c r="Q174" s="916">
        <f t="shared" si="57"/>
        <v>0</v>
      </c>
    </row>
    <row r="175" customHeight="1" spans="1:17">
      <c r="A175" s="27">
        <v>37</v>
      </c>
      <c r="B175" s="11" t="s">
        <v>371</v>
      </c>
      <c r="C175" s="12" t="s">
        <v>362</v>
      </c>
      <c r="D175" s="15" t="s">
        <v>388</v>
      </c>
      <c r="E175" s="226">
        <v>168598.166666667</v>
      </c>
      <c r="F175" s="921">
        <v>155678.666666667</v>
      </c>
      <c r="G175" s="220">
        <v>76055.1666666667</v>
      </c>
      <c r="H175" s="220">
        <f t="shared" si="62"/>
        <v>231733.833333334</v>
      </c>
      <c r="I175" s="220">
        <f t="shared" si="51"/>
        <v>63135.666666667</v>
      </c>
      <c r="J175" s="916">
        <v>13066.9466666667</v>
      </c>
      <c r="K175" s="916">
        <f t="shared" si="64"/>
        <v>18538.7066666667</v>
      </c>
      <c r="L175" s="916">
        <f t="shared" si="65"/>
        <v>5471.76000000002</v>
      </c>
      <c r="M175" s="916"/>
      <c r="N175" s="916"/>
      <c r="O175" s="916">
        <f t="shared" si="63"/>
        <v>0</v>
      </c>
      <c r="P175" s="916">
        <f t="shared" si="56"/>
        <v>222464.48</v>
      </c>
      <c r="Q175" s="916">
        <f t="shared" si="57"/>
        <v>0</v>
      </c>
    </row>
    <row r="176" customHeight="1" spans="1:17">
      <c r="A176" s="27">
        <v>38</v>
      </c>
      <c r="B176" s="18" t="s">
        <v>372</v>
      </c>
      <c r="C176" s="12" t="s">
        <v>362</v>
      </c>
      <c r="D176" s="15" t="s">
        <v>388</v>
      </c>
      <c r="E176" s="226">
        <v>168598.166666667</v>
      </c>
      <c r="F176" s="921">
        <v>155678.666666667</v>
      </c>
      <c r="G176" s="220">
        <v>76055.1666666667</v>
      </c>
      <c r="H176" s="220">
        <f t="shared" si="62"/>
        <v>231733.833333334</v>
      </c>
      <c r="I176" s="220">
        <f t="shared" si="51"/>
        <v>63135.666666667</v>
      </c>
      <c r="J176" s="916">
        <v>13066.9466666667</v>
      </c>
      <c r="K176" s="916">
        <f t="shared" si="64"/>
        <v>18538.7066666667</v>
      </c>
      <c r="L176" s="916">
        <f t="shared" si="65"/>
        <v>5471.76000000002</v>
      </c>
      <c r="M176" s="916"/>
      <c r="N176" s="916"/>
      <c r="O176" s="916">
        <f t="shared" si="63"/>
        <v>0</v>
      </c>
      <c r="P176" s="916">
        <f t="shared" si="56"/>
        <v>222464.48</v>
      </c>
      <c r="Q176" s="916">
        <f t="shared" si="57"/>
        <v>0</v>
      </c>
    </row>
    <row r="177" customHeight="1" spans="1:17">
      <c r="A177" s="27">
        <v>39</v>
      </c>
      <c r="B177" s="18" t="s">
        <v>359</v>
      </c>
      <c r="C177" s="12" t="s">
        <v>362</v>
      </c>
      <c r="D177" s="15" t="s">
        <v>388</v>
      </c>
      <c r="E177" s="226">
        <v>168598.166666667</v>
      </c>
      <c r="F177" s="921">
        <v>155678.666666667</v>
      </c>
      <c r="G177" s="220">
        <v>76055.1666666667</v>
      </c>
      <c r="H177" s="220">
        <f t="shared" si="62"/>
        <v>231733.833333334</v>
      </c>
      <c r="I177" s="220">
        <f t="shared" si="51"/>
        <v>63135.666666667</v>
      </c>
      <c r="J177" s="916">
        <v>13066.9466666667</v>
      </c>
      <c r="K177" s="916">
        <f t="shared" si="64"/>
        <v>18538.7066666667</v>
      </c>
      <c r="L177" s="916">
        <f t="shared" si="65"/>
        <v>5471.76000000002</v>
      </c>
      <c r="M177" s="916"/>
      <c r="N177" s="916"/>
      <c r="O177" s="916">
        <f t="shared" si="63"/>
        <v>0</v>
      </c>
      <c r="P177" s="916">
        <f t="shared" si="56"/>
        <v>222464.48</v>
      </c>
      <c r="Q177" s="916">
        <f t="shared" ref="Q177:Q198" si="66">N177*12</f>
        <v>0</v>
      </c>
    </row>
    <row r="178" customHeight="1" spans="1:17">
      <c r="A178" s="27">
        <v>40</v>
      </c>
      <c r="B178" s="11" t="s">
        <v>373</v>
      </c>
      <c r="C178" s="12" t="s">
        <v>374</v>
      </c>
      <c r="D178" s="15" t="s">
        <v>510</v>
      </c>
      <c r="E178" s="85">
        <v>158075.5</v>
      </c>
      <c r="F178" s="921">
        <v>148459</v>
      </c>
      <c r="G178" s="220">
        <v>71308.3333333333</v>
      </c>
      <c r="H178" s="220">
        <f t="shared" si="62"/>
        <v>219767.333333333</v>
      </c>
      <c r="I178" s="220">
        <f t="shared" si="51"/>
        <v>61691.833333333</v>
      </c>
      <c r="J178" s="916">
        <v>12225.1333333333</v>
      </c>
      <c r="K178" s="916">
        <f t="shared" si="64"/>
        <v>17581.3866666666</v>
      </c>
      <c r="L178" s="916">
        <f t="shared" si="65"/>
        <v>5356.25333333334</v>
      </c>
      <c r="M178" s="916"/>
      <c r="N178" s="916"/>
      <c r="O178" s="916">
        <f t="shared" si="63"/>
        <v>0</v>
      </c>
      <c r="P178" s="916">
        <f t="shared" si="56"/>
        <v>210976.639999999</v>
      </c>
      <c r="Q178" s="916">
        <f t="shared" si="66"/>
        <v>0</v>
      </c>
    </row>
    <row r="179" customHeight="1" spans="1:17">
      <c r="A179" s="27">
        <v>41</v>
      </c>
      <c r="B179" s="11" t="s">
        <v>376</v>
      </c>
      <c r="C179" s="12" t="s">
        <v>374</v>
      </c>
      <c r="D179" s="15" t="s">
        <v>510</v>
      </c>
      <c r="E179" s="85">
        <v>158075.5</v>
      </c>
      <c r="F179" s="921">
        <v>148459</v>
      </c>
      <c r="G179" s="220">
        <v>71308.3333333333</v>
      </c>
      <c r="H179" s="220">
        <f t="shared" si="62"/>
        <v>219767.333333333</v>
      </c>
      <c r="I179" s="220">
        <f t="shared" si="51"/>
        <v>61691.833333333</v>
      </c>
      <c r="J179" s="916">
        <v>12225.1333333333</v>
      </c>
      <c r="K179" s="916">
        <f t="shared" si="64"/>
        <v>17581.3866666666</v>
      </c>
      <c r="L179" s="916">
        <f t="shared" si="65"/>
        <v>5356.25333333334</v>
      </c>
      <c r="M179" s="916"/>
      <c r="N179" s="916"/>
      <c r="O179" s="916">
        <f t="shared" si="63"/>
        <v>0</v>
      </c>
      <c r="P179" s="916">
        <f t="shared" si="56"/>
        <v>210976.639999999</v>
      </c>
      <c r="Q179" s="916">
        <f t="shared" si="66"/>
        <v>0</v>
      </c>
    </row>
    <row r="180" customHeight="1" spans="1:17">
      <c r="A180" s="27">
        <v>42</v>
      </c>
      <c r="B180" s="18" t="s">
        <v>377</v>
      </c>
      <c r="C180" s="12" t="s">
        <v>374</v>
      </c>
      <c r="D180" s="15" t="s">
        <v>381</v>
      </c>
      <c r="E180" s="85">
        <v>163336.833333333</v>
      </c>
      <c r="F180" s="921">
        <v>152068.833333333</v>
      </c>
      <c r="G180" s="220">
        <v>73681.75</v>
      </c>
      <c r="H180" s="220">
        <f t="shared" si="62"/>
        <v>225750.583333333</v>
      </c>
      <c r="I180" s="220">
        <f t="shared" si="51"/>
        <v>62413.75</v>
      </c>
      <c r="J180" s="916">
        <v>12646.04</v>
      </c>
      <c r="K180" s="916">
        <f t="shared" si="64"/>
        <v>18060.0466666666</v>
      </c>
      <c r="L180" s="916">
        <f t="shared" si="65"/>
        <v>5414.00666666664</v>
      </c>
      <c r="M180" s="916"/>
      <c r="N180" s="916"/>
      <c r="O180" s="916">
        <f t="shared" si="63"/>
        <v>0</v>
      </c>
      <c r="P180" s="916">
        <f t="shared" si="56"/>
        <v>216720.559999999</v>
      </c>
      <c r="Q180" s="916">
        <f t="shared" si="66"/>
        <v>0</v>
      </c>
    </row>
    <row r="181" customHeight="1" spans="1:17">
      <c r="A181" s="27">
        <v>43</v>
      </c>
      <c r="B181" s="11" t="s">
        <v>379</v>
      </c>
      <c r="C181" s="12" t="s">
        <v>393</v>
      </c>
      <c r="D181" s="15" t="s">
        <v>511</v>
      </c>
      <c r="E181" s="85">
        <v>152814.166666667</v>
      </c>
      <c r="F181" s="921">
        <v>144849.083333333</v>
      </c>
      <c r="G181" s="220">
        <v>68934.9166666667</v>
      </c>
      <c r="H181" s="220">
        <f t="shared" si="62"/>
        <v>213784</v>
      </c>
      <c r="I181" s="220">
        <f t="shared" si="51"/>
        <v>60969.833333333</v>
      </c>
      <c r="J181" s="916">
        <v>12225.1333333333</v>
      </c>
      <c r="K181" s="916">
        <f t="shared" si="64"/>
        <v>17102.72</v>
      </c>
      <c r="L181" s="916">
        <f t="shared" si="65"/>
        <v>4877.5866666667</v>
      </c>
      <c r="M181" s="916"/>
      <c r="N181" s="916"/>
      <c r="O181" s="916">
        <f t="shared" si="63"/>
        <v>0</v>
      </c>
      <c r="P181" s="916">
        <f t="shared" si="56"/>
        <v>205232.64</v>
      </c>
      <c r="Q181" s="916">
        <f t="shared" si="66"/>
        <v>0</v>
      </c>
    </row>
    <row r="182" customHeight="1" spans="1:17">
      <c r="A182" s="27">
        <v>44</v>
      </c>
      <c r="B182" s="11" t="s">
        <v>382</v>
      </c>
      <c r="C182" s="12" t="s">
        <v>390</v>
      </c>
      <c r="D182" s="15" t="s">
        <v>571</v>
      </c>
      <c r="E182" s="85">
        <v>94145.75</v>
      </c>
      <c r="F182" s="921">
        <v>101053.25</v>
      </c>
      <c r="G182" s="220">
        <v>45303.5</v>
      </c>
      <c r="H182" s="220">
        <f t="shared" ref="H182:H198" si="67">F182+G182</f>
        <v>146356.75</v>
      </c>
      <c r="I182" s="220">
        <f t="shared" si="51"/>
        <v>52211</v>
      </c>
      <c r="J182" s="916">
        <v>7327.84</v>
      </c>
      <c r="K182" s="916">
        <f t="shared" si="64"/>
        <v>11708.54</v>
      </c>
      <c r="L182" s="916">
        <f t="shared" si="65"/>
        <v>4380.7</v>
      </c>
      <c r="M182" s="916"/>
      <c r="N182" s="916"/>
      <c r="O182" s="916">
        <f t="shared" si="63"/>
        <v>0</v>
      </c>
      <c r="P182" s="916">
        <f t="shared" si="56"/>
        <v>140502.48</v>
      </c>
      <c r="Q182" s="916">
        <f t="shared" si="66"/>
        <v>0</v>
      </c>
    </row>
    <row r="183" customHeight="1" spans="1:17">
      <c r="A183" s="27">
        <v>45</v>
      </c>
      <c r="B183" s="11" t="s">
        <v>383</v>
      </c>
      <c r="C183" s="12" t="s">
        <v>390</v>
      </c>
      <c r="D183" s="15" t="s">
        <v>571</v>
      </c>
      <c r="E183" s="85">
        <v>94145.75</v>
      </c>
      <c r="F183" s="921">
        <v>101053.25</v>
      </c>
      <c r="G183" s="220">
        <v>45303.5</v>
      </c>
      <c r="H183" s="220">
        <f t="shared" si="67"/>
        <v>146356.75</v>
      </c>
      <c r="I183" s="220">
        <f t="shared" si="51"/>
        <v>52211</v>
      </c>
      <c r="J183" s="916">
        <v>7327.84</v>
      </c>
      <c r="K183" s="916">
        <f t="shared" si="64"/>
        <v>11708.54</v>
      </c>
      <c r="L183" s="916">
        <f t="shared" si="65"/>
        <v>4380.7</v>
      </c>
      <c r="M183" s="916"/>
      <c r="N183" s="916"/>
      <c r="O183" s="916">
        <f t="shared" si="63"/>
        <v>0</v>
      </c>
      <c r="P183" s="916">
        <f t="shared" si="56"/>
        <v>140502.48</v>
      </c>
      <c r="Q183" s="916">
        <f t="shared" si="66"/>
        <v>0</v>
      </c>
    </row>
    <row r="184" customHeight="1" spans="1:17">
      <c r="A184" s="27">
        <v>46</v>
      </c>
      <c r="B184" s="11" t="s">
        <v>384</v>
      </c>
      <c r="C184" s="12" t="s">
        <v>390</v>
      </c>
      <c r="D184" s="15" t="s">
        <v>571</v>
      </c>
      <c r="E184" s="85">
        <v>94145.75</v>
      </c>
      <c r="F184" s="921">
        <v>101053.25</v>
      </c>
      <c r="G184" s="220">
        <v>45303.5</v>
      </c>
      <c r="H184" s="220">
        <f t="shared" si="67"/>
        <v>146356.75</v>
      </c>
      <c r="I184" s="220">
        <f t="shared" si="51"/>
        <v>52211</v>
      </c>
      <c r="J184" s="916">
        <v>7327.84</v>
      </c>
      <c r="K184" s="916">
        <f t="shared" si="64"/>
        <v>11708.54</v>
      </c>
      <c r="L184" s="916">
        <f t="shared" si="65"/>
        <v>4380.7</v>
      </c>
      <c r="M184" s="916"/>
      <c r="N184" s="916"/>
      <c r="O184" s="916">
        <f t="shared" si="63"/>
        <v>0</v>
      </c>
      <c r="P184" s="916">
        <f t="shared" si="56"/>
        <v>140502.48</v>
      </c>
      <c r="Q184" s="916">
        <f t="shared" si="66"/>
        <v>0</v>
      </c>
    </row>
    <row r="185" customHeight="1" spans="1:17">
      <c r="A185" s="27">
        <v>47</v>
      </c>
      <c r="B185" s="11" t="s">
        <v>385</v>
      </c>
      <c r="C185" s="12" t="s">
        <v>390</v>
      </c>
      <c r="D185" s="15" t="s">
        <v>571</v>
      </c>
      <c r="E185" s="85">
        <v>94145.75</v>
      </c>
      <c r="F185" s="921">
        <v>101053.25</v>
      </c>
      <c r="G185" s="220">
        <v>45303.5</v>
      </c>
      <c r="H185" s="220">
        <f t="shared" si="67"/>
        <v>146356.75</v>
      </c>
      <c r="I185" s="220">
        <f t="shared" si="51"/>
        <v>52211</v>
      </c>
      <c r="J185" s="916">
        <v>7327.84</v>
      </c>
      <c r="K185" s="916">
        <f t="shared" si="64"/>
        <v>11708.54</v>
      </c>
      <c r="L185" s="916">
        <f t="shared" si="65"/>
        <v>4380.7</v>
      </c>
      <c r="M185" s="916"/>
      <c r="N185" s="916"/>
      <c r="O185" s="916">
        <f t="shared" si="63"/>
        <v>0</v>
      </c>
      <c r="P185" s="916">
        <f t="shared" si="56"/>
        <v>140502.48</v>
      </c>
      <c r="Q185" s="916">
        <f t="shared" si="66"/>
        <v>0</v>
      </c>
    </row>
    <row r="186" customHeight="1" spans="1:17">
      <c r="A186" s="27">
        <v>48</v>
      </c>
      <c r="B186" s="11" t="s">
        <v>386</v>
      </c>
      <c r="C186" s="12" t="s">
        <v>390</v>
      </c>
      <c r="D186" s="15" t="s">
        <v>571</v>
      </c>
      <c r="E186" s="85">
        <v>94145.75</v>
      </c>
      <c r="F186" s="921">
        <v>101053.25</v>
      </c>
      <c r="G186" s="220">
        <v>45303.5</v>
      </c>
      <c r="H186" s="220">
        <f t="shared" si="67"/>
        <v>146356.75</v>
      </c>
      <c r="I186" s="220">
        <f t="shared" si="51"/>
        <v>52211</v>
      </c>
      <c r="J186" s="916">
        <v>7327.84</v>
      </c>
      <c r="K186" s="916">
        <f t="shared" si="64"/>
        <v>11708.54</v>
      </c>
      <c r="L186" s="916">
        <f t="shared" si="65"/>
        <v>4380.7</v>
      </c>
      <c r="M186" s="916"/>
      <c r="N186" s="916"/>
      <c r="O186" s="916">
        <f t="shared" si="63"/>
        <v>0</v>
      </c>
      <c r="P186" s="916">
        <f t="shared" si="56"/>
        <v>140502.48</v>
      </c>
      <c r="Q186" s="916">
        <f t="shared" si="66"/>
        <v>0</v>
      </c>
    </row>
    <row r="187" customHeight="1" spans="1:17">
      <c r="A187" s="27">
        <v>49</v>
      </c>
      <c r="B187" s="18" t="s">
        <v>387</v>
      </c>
      <c r="C187" s="12" t="s">
        <v>390</v>
      </c>
      <c r="D187" s="15" t="s">
        <v>571</v>
      </c>
      <c r="E187" s="85">
        <v>94145.75</v>
      </c>
      <c r="F187" s="921">
        <v>101053.25</v>
      </c>
      <c r="G187" s="220">
        <v>45303.5</v>
      </c>
      <c r="H187" s="220">
        <f t="shared" si="67"/>
        <v>146356.75</v>
      </c>
      <c r="I187" s="220">
        <f t="shared" si="51"/>
        <v>52211</v>
      </c>
      <c r="J187" s="916">
        <v>7327.84</v>
      </c>
      <c r="K187" s="916">
        <f t="shared" si="64"/>
        <v>11708.54</v>
      </c>
      <c r="L187" s="916">
        <f t="shared" si="65"/>
        <v>4380.7</v>
      </c>
      <c r="M187" s="916"/>
      <c r="N187" s="916"/>
      <c r="O187" s="916">
        <f t="shared" si="63"/>
        <v>0</v>
      </c>
      <c r="P187" s="916">
        <f t="shared" ref="P187:P198" si="68">12*K187</f>
        <v>140502.48</v>
      </c>
      <c r="Q187" s="916">
        <f t="shared" si="66"/>
        <v>0</v>
      </c>
    </row>
    <row r="188" customHeight="1" spans="1:17">
      <c r="A188" s="27">
        <v>50</v>
      </c>
      <c r="B188" s="18" t="s">
        <v>389</v>
      </c>
      <c r="C188" s="12" t="s">
        <v>390</v>
      </c>
      <c r="D188" s="15" t="s">
        <v>571</v>
      </c>
      <c r="E188" s="85">
        <v>94145.75</v>
      </c>
      <c r="F188" s="921">
        <v>101053.25</v>
      </c>
      <c r="G188" s="220">
        <v>45303.5</v>
      </c>
      <c r="H188" s="220">
        <f t="shared" si="67"/>
        <v>146356.75</v>
      </c>
      <c r="I188" s="220">
        <f t="shared" si="51"/>
        <v>52211</v>
      </c>
      <c r="J188" s="916">
        <v>7327.84</v>
      </c>
      <c r="K188" s="916">
        <f t="shared" si="64"/>
        <v>11708.54</v>
      </c>
      <c r="L188" s="916">
        <f t="shared" si="65"/>
        <v>4380.7</v>
      </c>
      <c r="M188" s="916"/>
      <c r="N188" s="916"/>
      <c r="O188" s="916">
        <f t="shared" si="63"/>
        <v>0</v>
      </c>
      <c r="P188" s="916">
        <f t="shared" si="68"/>
        <v>140502.48</v>
      </c>
      <c r="Q188" s="916">
        <f t="shared" si="66"/>
        <v>0</v>
      </c>
    </row>
    <row r="189" customHeight="1" spans="1:17">
      <c r="A189" s="27">
        <v>51</v>
      </c>
      <c r="B189" s="11" t="s">
        <v>572</v>
      </c>
      <c r="C189" s="12" t="s">
        <v>393</v>
      </c>
      <c r="D189" s="15" t="s">
        <v>571</v>
      </c>
      <c r="E189" s="85">
        <v>94145.75</v>
      </c>
      <c r="F189" s="921">
        <v>101053.25</v>
      </c>
      <c r="G189" s="220">
        <v>45303.5</v>
      </c>
      <c r="H189" s="220">
        <f t="shared" si="67"/>
        <v>146356.75</v>
      </c>
      <c r="I189" s="220">
        <f t="shared" si="51"/>
        <v>52211</v>
      </c>
      <c r="J189" s="916"/>
      <c r="K189" s="916">
        <f t="shared" si="64"/>
        <v>11708.54</v>
      </c>
      <c r="L189" s="916">
        <f t="shared" si="65"/>
        <v>11708.54</v>
      </c>
      <c r="M189" s="916"/>
      <c r="N189" s="916"/>
      <c r="O189" s="916">
        <f t="shared" si="63"/>
        <v>0</v>
      </c>
      <c r="P189" s="916">
        <f t="shared" si="68"/>
        <v>140502.48</v>
      </c>
      <c r="Q189" s="916">
        <f t="shared" si="66"/>
        <v>0</v>
      </c>
    </row>
    <row r="190" customHeight="1" spans="1:17">
      <c r="A190" s="27">
        <v>52</v>
      </c>
      <c r="B190" s="11" t="s">
        <v>392</v>
      </c>
      <c r="C190" s="12" t="s">
        <v>393</v>
      </c>
      <c r="D190" s="15" t="s">
        <v>571</v>
      </c>
      <c r="E190" s="85">
        <v>94145.75</v>
      </c>
      <c r="F190" s="921">
        <v>101053.25</v>
      </c>
      <c r="G190" s="220">
        <v>45303.5</v>
      </c>
      <c r="H190" s="220">
        <f t="shared" si="67"/>
        <v>146356.75</v>
      </c>
      <c r="I190" s="220">
        <f t="shared" si="51"/>
        <v>52211</v>
      </c>
      <c r="J190" s="916">
        <v>7327.84</v>
      </c>
      <c r="K190" s="916">
        <f t="shared" si="64"/>
        <v>11708.54</v>
      </c>
      <c r="L190" s="916">
        <f t="shared" si="65"/>
        <v>4380.7</v>
      </c>
      <c r="M190" s="916"/>
      <c r="N190" s="916"/>
      <c r="O190" s="916">
        <f t="shared" si="63"/>
        <v>0</v>
      </c>
      <c r="P190" s="916">
        <f t="shared" si="68"/>
        <v>140502.48</v>
      </c>
      <c r="Q190" s="916">
        <f t="shared" si="66"/>
        <v>0</v>
      </c>
    </row>
    <row r="191" customHeight="1" spans="1:17">
      <c r="A191" s="27">
        <v>53</v>
      </c>
      <c r="B191" s="18" t="s">
        <v>360</v>
      </c>
      <c r="C191" s="12" t="s">
        <v>395</v>
      </c>
      <c r="D191" s="15" t="s">
        <v>573</v>
      </c>
      <c r="E191" s="85">
        <v>91598</v>
      </c>
      <c r="F191" s="921">
        <v>99486.9166666667</v>
      </c>
      <c r="G191" s="220">
        <v>44008.75</v>
      </c>
      <c r="H191" s="220">
        <f t="shared" si="67"/>
        <v>143495.666666667</v>
      </c>
      <c r="I191" s="220">
        <f t="shared" si="51"/>
        <v>51897.6666666667</v>
      </c>
      <c r="J191" s="916">
        <v>7124.02</v>
      </c>
      <c r="K191" s="916">
        <f t="shared" si="64"/>
        <v>11479.6533333333</v>
      </c>
      <c r="L191" s="916">
        <f t="shared" si="65"/>
        <v>4355.63333333334</v>
      </c>
      <c r="M191" s="916"/>
      <c r="N191" s="916"/>
      <c r="O191" s="916">
        <f t="shared" si="63"/>
        <v>0</v>
      </c>
      <c r="P191" s="916">
        <f t="shared" si="68"/>
        <v>137755.84</v>
      </c>
      <c r="Q191" s="916">
        <f t="shared" si="66"/>
        <v>0</v>
      </c>
    </row>
    <row r="192" customHeight="1" spans="1:17">
      <c r="A192" s="27">
        <v>54</v>
      </c>
      <c r="B192" s="18" t="s">
        <v>394</v>
      </c>
      <c r="C192" s="12" t="s">
        <v>395</v>
      </c>
      <c r="D192" s="15" t="s">
        <v>398</v>
      </c>
      <c r="E192" s="85">
        <v>86502.5</v>
      </c>
      <c r="F192" s="921">
        <v>96354.25</v>
      </c>
      <c r="G192" s="220">
        <v>41419.25</v>
      </c>
      <c r="H192" s="220">
        <f t="shared" si="67"/>
        <v>137773.5</v>
      </c>
      <c r="I192" s="220">
        <f t="shared" si="51"/>
        <v>51271</v>
      </c>
      <c r="J192" s="916"/>
      <c r="K192" s="916">
        <f t="shared" si="64"/>
        <v>11021.88</v>
      </c>
      <c r="L192" s="916">
        <f t="shared" si="65"/>
        <v>11021.88</v>
      </c>
      <c r="M192" s="916"/>
      <c r="N192" s="916"/>
      <c r="O192" s="916">
        <f t="shared" si="63"/>
        <v>0</v>
      </c>
      <c r="P192" s="916">
        <f t="shared" si="68"/>
        <v>132262.56</v>
      </c>
      <c r="Q192" s="916">
        <f t="shared" si="66"/>
        <v>0</v>
      </c>
    </row>
    <row r="193" customHeight="1" spans="1:17">
      <c r="A193" s="27">
        <v>55</v>
      </c>
      <c r="B193" s="18" t="s">
        <v>397</v>
      </c>
      <c r="C193" s="12" t="s">
        <v>395</v>
      </c>
      <c r="D193" s="15" t="s">
        <v>400</v>
      </c>
      <c r="E193" s="85">
        <v>83933</v>
      </c>
      <c r="F193" s="921">
        <v>94788.1666666667</v>
      </c>
      <c r="G193" s="220">
        <v>40124.5</v>
      </c>
      <c r="H193" s="220">
        <f t="shared" si="67"/>
        <v>134912.666666667</v>
      </c>
      <c r="I193" s="220">
        <f t="shared" si="51"/>
        <v>50979.6666666667</v>
      </c>
      <c r="J193" s="916">
        <v>6920.2</v>
      </c>
      <c r="K193" s="916">
        <f t="shared" si="64"/>
        <v>10793.0133333333</v>
      </c>
      <c r="L193" s="916">
        <f t="shared" si="65"/>
        <v>3872.81333333333</v>
      </c>
      <c r="M193" s="916"/>
      <c r="N193" s="916"/>
      <c r="O193" s="916">
        <f t="shared" si="63"/>
        <v>0</v>
      </c>
      <c r="P193" s="916">
        <f t="shared" si="68"/>
        <v>129516.16</v>
      </c>
      <c r="Q193" s="916">
        <f t="shared" si="66"/>
        <v>0</v>
      </c>
    </row>
    <row r="194" customHeight="1" spans="1:17">
      <c r="A194" s="27">
        <v>56</v>
      </c>
      <c r="B194" s="18" t="s">
        <v>401</v>
      </c>
      <c r="C194" s="12" t="s">
        <v>402</v>
      </c>
      <c r="D194" s="15" t="s">
        <v>513</v>
      </c>
      <c r="E194" s="85">
        <v>78733.8333333333</v>
      </c>
      <c r="F194" s="909">
        <v>91578.25</v>
      </c>
      <c r="G194" s="4">
        <v>37471.1666666667</v>
      </c>
      <c r="H194" s="220">
        <f t="shared" si="67"/>
        <v>129049.416666667</v>
      </c>
      <c r="I194" s="220">
        <f t="shared" si="51"/>
        <v>50315.5833333334</v>
      </c>
      <c r="J194" s="916">
        <v>6123.26</v>
      </c>
      <c r="K194" s="916">
        <f t="shared" si="64"/>
        <v>10323.9533333333</v>
      </c>
      <c r="L194" s="916">
        <f t="shared" si="65"/>
        <v>4200.69333333334</v>
      </c>
      <c r="M194" s="916"/>
      <c r="N194" s="916"/>
      <c r="O194" s="916">
        <f t="shared" si="63"/>
        <v>0</v>
      </c>
      <c r="P194" s="916">
        <f t="shared" si="68"/>
        <v>123887.44</v>
      </c>
      <c r="Q194" s="916">
        <f t="shared" si="66"/>
        <v>0</v>
      </c>
    </row>
    <row r="195" customHeight="1" spans="1:17">
      <c r="A195" s="27">
        <v>57</v>
      </c>
      <c r="B195" s="18" t="s">
        <v>404</v>
      </c>
      <c r="C195" s="12" t="s">
        <v>402</v>
      </c>
      <c r="D195" s="15" t="s">
        <v>513</v>
      </c>
      <c r="E195" s="85">
        <v>78733.8333333333</v>
      </c>
      <c r="F195" s="909">
        <v>91578.25</v>
      </c>
      <c r="G195" s="4">
        <v>37471.1666666667</v>
      </c>
      <c r="H195" s="220">
        <f t="shared" si="67"/>
        <v>129049.416666667</v>
      </c>
      <c r="I195" s="220">
        <f t="shared" si="51"/>
        <v>50315.5833333334</v>
      </c>
      <c r="J195" s="916">
        <v>6123.26</v>
      </c>
      <c r="K195" s="916">
        <f t="shared" si="64"/>
        <v>10323.9533333333</v>
      </c>
      <c r="L195" s="916">
        <f t="shared" si="65"/>
        <v>4200.69333333334</v>
      </c>
      <c r="M195" s="916"/>
      <c r="N195" s="916"/>
      <c r="O195" s="916">
        <f t="shared" si="63"/>
        <v>0</v>
      </c>
      <c r="P195" s="916">
        <f t="shared" si="68"/>
        <v>123887.44</v>
      </c>
      <c r="Q195" s="916">
        <f t="shared" si="66"/>
        <v>0</v>
      </c>
    </row>
    <row r="196" customHeight="1" spans="1:17">
      <c r="A196" s="27">
        <v>58</v>
      </c>
      <c r="B196" s="18" t="s">
        <v>405</v>
      </c>
      <c r="C196" s="12" t="s">
        <v>402</v>
      </c>
      <c r="D196" s="15" t="s">
        <v>513</v>
      </c>
      <c r="E196" s="85">
        <v>78733.8333333333</v>
      </c>
      <c r="F196" s="909">
        <v>91578.25</v>
      </c>
      <c r="G196" s="4">
        <v>37471.1666666667</v>
      </c>
      <c r="H196" s="220">
        <f t="shared" si="67"/>
        <v>129049.416666667</v>
      </c>
      <c r="I196" s="220">
        <f t="shared" si="51"/>
        <v>50315.5833333334</v>
      </c>
      <c r="J196" s="916">
        <v>6123.26</v>
      </c>
      <c r="K196" s="916">
        <f t="shared" si="64"/>
        <v>10323.9533333333</v>
      </c>
      <c r="L196" s="916">
        <f t="shared" si="65"/>
        <v>4200.69333333334</v>
      </c>
      <c r="M196" s="916"/>
      <c r="N196" s="916"/>
      <c r="O196" s="916">
        <f t="shared" si="63"/>
        <v>0</v>
      </c>
      <c r="P196" s="916">
        <f t="shared" si="68"/>
        <v>123887.44</v>
      </c>
      <c r="Q196" s="916">
        <f t="shared" si="66"/>
        <v>0</v>
      </c>
    </row>
    <row r="197" customHeight="1" spans="1:17">
      <c r="A197" s="27">
        <v>59</v>
      </c>
      <c r="B197" s="18" t="s">
        <v>406</v>
      </c>
      <c r="C197" s="12" t="s">
        <v>407</v>
      </c>
      <c r="D197" s="15" t="s">
        <v>396</v>
      </c>
      <c r="E197" s="85">
        <v>89050.25</v>
      </c>
      <c r="F197" s="909">
        <v>97920.6666666667</v>
      </c>
      <c r="G197" s="220">
        <v>42714</v>
      </c>
      <c r="H197" s="220">
        <f t="shared" si="67"/>
        <v>140634.666666667</v>
      </c>
      <c r="I197" s="220">
        <f t="shared" si="51"/>
        <v>51584.4166666667</v>
      </c>
      <c r="J197" s="916">
        <v>6920.2</v>
      </c>
      <c r="K197" s="916">
        <f t="shared" si="64"/>
        <v>11250.7733333333</v>
      </c>
      <c r="L197" s="916">
        <f t="shared" si="65"/>
        <v>4330.57333333333</v>
      </c>
      <c r="M197" s="916"/>
      <c r="N197" s="916"/>
      <c r="O197" s="916">
        <f t="shared" si="63"/>
        <v>0</v>
      </c>
      <c r="P197" s="916">
        <f t="shared" si="68"/>
        <v>135009.28</v>
      </c>
      <c r="Q197" s="916">
        <f t="shared" si="66"/>
        <v>0</v>
      </c>
    </row>
    <row r="198" customHeight="1" spans="1:17">
      <c r="A198" s="27">
        <v>60</v>
      </c>
      <c r="B198" s="18" t="s">
        <v>409</v>
      </c>
      <c r="C198" s="12" t="s">
        <v>407</v>
      </c>
      <c r="D198" s="15" t="s">
        <v>396</v>
      </c>
      <c r="E198" s="85">
        <v>89050.25</v>
      </c>
      <c r="F198" s="909">
        <v>97920.6666666667</v>
      </c>
      <c r="G198" s="220">
        <v>42714</v>
      </c>
      <c r="H198" s="220">
        <f t="shared" si="67"/>
        <v>140634.666666667</v>
      </c>
      <c r="I198" s="220">
        <f t="shared" si="51"/>
        <v>51584.4166666667</v>
      </c>
      <c r="J198" s="916">
        <v>6920.2</v>
      </c>
      <c r="K198" s="916">
        <f t="shared" si="64"/>
        <v>11250.7733333333</v>
      </c>
      <c r="L198" s="916">
        <f t="shared" si="65"/>
        <v>4330.57333333333</v>
      </c>
      <c r="M198" s="916"/>
      <c r="N198" s="916"/>
      <c r="O198" s="916">
        <f t="shared" si="63"/>
        <v>0</v>
      </c>
      <c r="P198" s="916">
        <f t="shared" si="68"/>
        <v>135009.28</v>
      </c>
      <c r="Q198" s="916">
        <f t="shared" si="66"/>
        <v>0</v>
      </c>
    </row>
    <row r="199" ht="30.75" customHeight="1" spans="1:17">
      <c r="A199" s="27"/>
      <c r="B199" s="8" t="s">
        <v>120</v>
      </c>
      <c r="C199" s="28" t="s">
        <v>574</v>
      </c>
      <c r="D199" s="29"/>
      <c r="E199" s="93">
        <f t="shared" ref="E199:Q199" si="69">SUM(E139:E198)</f>
        <v>14787756.9166667</v>
      </c>
      <c r="F199" s="912">
        <f t="shared" si="69"/>
        <v>12440135.5</v>
      </c>
      <c r="G199" s="93">
        <f t="shared" si="69"/>
        <v>6814126.75</v>
      </c>
      <c r="H199" s="93">
        <f t="shared" si="69"/>
        <v>19254262.25</v>
      </c>
      <c r="I199" s="93">
        <f t="shared" si="69"/>
        <v>4466505.33333333</v>
      </c>
      <c r="J199" s="93">
        <f t="shared" si="69"/>
        <v>1154618.35666667</v>
      </c>
      <c r="K199" s="93">
        <f t="shared" si="69"/>
        <v>1540340.98</v>
      </c>
      <c r="L199" s="93">
        <f t="shared" si="69"/>
        <v>385722.623333334</v>
      </c>
      <c r="M199" s="93">
        <f t="shared" si="69"/>
        <v>72300.4916666667</v>
      </c>
      <c r="N199" s="93">
        <f t="shared" si="69"/>
        <v>150315.125</v>
      </c>
      <c r="O199" s="93">
        <f t="shared" si="69"/>
        <v>78014.6333333333</v>
      </c>
      <c r="P199" s="93">
        <f t="shared" si="69"/>
        <v>18484091.76</v>
      </c>
      <c r="Q199" s="93">
        <f t="shared" si="69"/>
        <v>1803781.5</v>
      </c>
    </row>
    <row r="200" ht="30" customHeight="1" spans="1:17">
      <c r="A200" s="4"/>
      <c r="B200" s="30" t="s">
        <v>575</v>
      </c>
      <c r="C200" s="31">
        <f>C39+C46+C57+C62+C72+C81+C94+C102+C112+C123+C136+C199</f>
        <v>153</v>
      </c>
      <c r="D200" s="32"/>
      <c r="E200" s="227">
        <f t="shared" ref="E200:Q200" si="70">E199+E136+E123+E118+E112+E102+E94+E81+E72+E62+E57+E46+E39</f>
        <v>62694852.3336667</v>
      </c>
      <c r="F200" s="923">
        <f t="shared" si="70"/>
        <v>49056822</v>
      </c>
      <c r="G200" s="227">
        <f t="shared" si="70"/>
        <v>29017396.5</v>
      </c>
      <c r="H200" s="227">
        <f t="shared" si="70"/>
        <v>78074218.5</v>
      </c>
      <c r="I200" s="924">
        <f t="shared" si="70"/>
        <v>15379366.1663333</v>
      </c>
      <c r="J200" s="227">
        <f t="shared" si="70"/>
        <v>4754163.56</v>
      </c>
      <c r="K200" s="227">
        <f t="shared" si="70"/>
        <v>6015821.97333333</v>
      </c>
      <c r="L200" s="924">
        <f t="shared" si="70"/>
        <v>1261658.41333333</v>
      </c>
      <c r="M200" s="227">
        <f t="shared" si="70"/>
        <v>267480.25625</v>
      </c>
      <c r="N200" s="227">
        <f t="shared" si="70"/>
        <v>513039.26875</v>
      </c>
      <c r="O200" s="924">
        <f t="shared" si="70"/>
        <v>245559.0125</v>
      </c>
      <c r="P200" s="227">
        <f t="shared" si="70"/>
        <v>72189863.68</v>
      </c>
      <c r="Q200" s="227">
        <f t="shared" si="70"/>
        <v>5757905.45</v>
      </c>
    </row>
    <row r="201" s="1" customFormat="1" ht="35.25" customHeight="1" spans="1:16">
      <c r="A201" s="4"/>
      <c r="B201" s="30" t="s">
        <v>576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577</v>
      </c>
      <c r="C202" s="31">
        <f>SUM(C200:C201)</f>
        <v>175</v>
      </c>
      <c r="D202" s="32"/>
      <c r="E202" s="227">
        <f>E200+E201</f>
        <v>69258581.5836667</v>
      </c>
      <c r="F202" s="227">
        <f t="shared" ref="F202:Q202" si="71">F200+F201</f>
        <v>54402916.8333333</v>
      </c>
      <c r="G202" s="227">
        <f t="shared" si="71"/>
        <v>32040283.9166667</v>
      </c>
      <c r="H202" s="227">
        <f t="shared" si="71"/>
        <v>86443200.75</v>
      </c>
      <c r="I202" s="227">
        <f t="shared" si="71"/>
        <v>17184619.1663333</v>
      </c>
      <c r="J202" s="227">
        <f t="shared" si="71"/>
        <v>5279261.9</v>
      </c>
      <c r="K202" s="227">
        <f t="shared" si="71"/>
        <v>6685340.55333333</v>
      </c>
      <c r="L202" s="227">
        <f t="shared" si="71"/>
        <v>1406078.65333333</v>
      </c>
      <c r="M202" s="227">
        <f t="shared" si="71"/>
        <v>267480.25625</v>
      </c>
      <c r="N202" s="227">
        <f t="shared" si="71"/>
        <v>513039.26875</v>
      </c>
      <c r="O202" s="227">
        <f t="shared" si="71"/>
        <v>245559.0125</v>
      </c>
      <c r="P202" s="227">
        <f t="shared" si="71"/>
        <v>72189863.68</v>
      </c>
      <c r="Q202" s="227">
        <f t="shared" si="71"/>
        <v>5757905.45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14">
      <c r="F205" s="1"/>
      <c r="N205" s="13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C161" workbookViewId="0">
      <selection activeCell="C173" sqref="C173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928" t="s">
        <v>616</v>
      </c>
      <c r="AA4" s="463" t="s">
        <v>483</v>
      </c>
      <c r="AB4" s="477" t="s">
        <v>617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4" si="0">C6*D6</f>
        <v>26956465</v>
      </c>
      <c r="F6" s="467"/>
      <c r="G6" s="467">
        <v>0</v>
      </c>
      <c r="H6" s="467"/>
      <c r="I6" s="467">
        <f t="shared" ref="I6:I34" si="1">E6-F6-G6-H6</f>
        <v>26956465</v>
      </c>
      <c r="J6" s="467">
        <v>200000</v>
      </c>
      <c r="K6" s="467">
        <v>0.2</v>
      </c>
      <c r="L6" s="467">
        <f t="shared" ref="L6:L34" si="2">I6*K6</f>
        <v>5391292.99999999</v>
      </c>
      <c r="M6" s="467">
        <f t="shared" ref="M6:M34" si="3">J6+L6</f>
        <v>5591292.99999999</v>
      </c>
      <c r="N6" s="467">
        <f t="shared" ref="N6:N34" si="4">F6+G6+H6+M6</f>
        <v>5591292.99999999</v>
      </c>
      <c r="O6" s="467">
        <f t="shared" ref="O6:O34" si="5">E6-N6</f>
        <v>21365172</v>
      </c>
      <c r="P6" s="467">
        <f t="shared" ref="P6:P34" si="6">IF(O6&lt;300000,0.07*O6,21000)</f>
        <v>21000</v>
      </c>
      <c r="Q6" s="467">
        <f t="shared" ref="Q6:Q34" si="7">IF((O6-300000)&lt;0,0,IF((O6-300000)&lt;300000,0.11*(O6-300000),33000))</f>
        <v>33000</v>
      </c>
      <c r="R6" s="467">
        <f t="shared" ref="R6:R34" si="8">IF((O6-600000)&lt;0,0,IF((O6-600000)&lt;500000,0.15*(O6-600000),75000))</f>
        <v>75000</v>
      </c>
      <c r="S6" s="467">
        <f t="shared" ref="S6:S34" si="9">IF((O6-1100000)&lt;0,0,IF((O6-1100000)&lt;500000,0.19*(O6-1100000),95000))</f>
        <v>95000</v>
      </c>
      <c r="T6" s="467">
        <f t="shared" ref="T6:T34" si="10">IF((O6-1600000)&lt;0,0,IF((O6-1600000)&lt;1600000,0.21*(O6-1600000),336000))</f>
        <v>336000</v>
      </c>
      <c r="U6" s="467">
        <f t="shared" ref="U6:U23" si="11">24%*(O6-3200000)</f>
        <v>4359641.27999999</v>
      </c>
      <c r="V6" s="467">
        <f t="shared" ref="V6:V34" si="12">P6+Q6+R6+S6+T6+U6</f>
        <v>4919641.27999999</v>
      </c>
      <c r="W6" s="474">
        <v>12</v>
      </c>
      <c r="X6" s="467">
        <f t="shared" ref="X6:X34" si="13">V6/W6</f>
        <v>409970.106666666</v>
      </c>
      <c r="Y6" s="467"/>
      <c r="Z6" s="929">
        <f t="shared" ref="Z6:Z34" si="14">X6</f>
        <v>409970.106666666</v>
      </c>
      <c r="AA6" s="806">
        <v>350184.010730667</v>
      </c>
      <c r="AB6" s="806">
        <f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ref="AB7:AB38" si="15">Z7-AA7</f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1019008.91666667</v>
      </c>
      <c r="D10" s="466">
        <v>12</v>
      </c>
      <c r="E10" s="467">
        <f t="shared" si="0"/>
        <v>12228107</v>
      </c>
      <c r="F10" s="467">
        <v>157015.95</v>
      </c>
      <c r="G10" s="467">
        <v>818602.64</v>
      </c>
      <c r="H10" s="467"/>
      <c r="I10" s="467">
        <f t="shared" si="1"/>
        <v>11252488.41</v>
      </c>
      <c r="J10" s="467">
        <v>200000</v>
      </c>
      <c r="K10" s="467">
        <v>0.2</v>
      </c>
      <c r="L10" s="467">
        <f t="shared" si="2"/>
        <v>2250497.682</v>
      </c>
      <c r="M10" s="467">
        <f t="shared" si="3"/>
        <v>2450497.682</v>
      </c>
      <c r="N10" s="467">
        <f t="shared" si="4"/>
        <v>3426116.272</v>
      </c>
      <c r="O10" s="467">
        <f t="shared" si="5"/>
        <v>8801990.728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1344477.77472</v>
      </c>
      <c r="V10" s="467">
        <f t="shared" si="12"/>
        <v>1904477.77472</v>
      </c>
      <c r="W10" s="474">
        <v>12</v>
      </c>
      <c r="X10" s="467">
        <f t="shared" si="13"/>
        <v>158706.481226667</v>
      </c>
      <c r="Y10" s="467"/>
      <c r="Z10" s="929">
        <f t="shared" si="14"/>
        <v>158706.481226667</v>
      </c>
      <c r="AA10" s="806">
        <v>129694.695226667</v>
      </c>
      <c r="AB10" s="806">
        <f t="shared" si="15"/>
        <v>29011.7859999997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932595.5</v>
      </c>
      <c r="D13" s="466">
        <v>12</v>
      </c>
      <c r="E13" s="467">
        <f t="shared" si="0"/>
        <v>11191146</v>
      </c>
      <c r="F13" s="467"/>
      <c r="G13" s="467">
        <v>693691.68</v>
      </c>
      <c r="H13" s="467"/>
      <c r="I13" s="467">
        <f t="shared" si="1"/>
        <v>10497454.32</v>
      </c>
      <c r="J13" s="467">
        <v>200000</v>
      </c>
      <c r="K13" s="467">
        <v>0.2</v>
      </c>
      <c r="L13" s="467">
        <f t="shared" si="2"/>
        <v>2099490.864</v>
      </c>
      <c r="M13" s="467">
        <f t="shared" si="3"/>
        <v>2299490.864</v>
      </c>
      <c r="N13" s="467">
        <f t="shared" si="4"/>
        <v>2993182.544</v>
      </c>
      <c r="O13" s="467">
        <f t="shared" si="5"/>
        <v>8197963.456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1199511.22944</v>
      </c>
      <c r="V13" s="467">
        <f t="shared" si="12"/>
        <v>1759511.22944</v>
      </c>
      <c r="W13" s="474">
        <v>12</v>
      </c>
      <c r="X13" s="467">
        <f t="shared" si="13"/>
        <v>146625.935786667</v>
      </c>
      <c r="Y13" s="467"/>
      <c r="Z13" s="929">
        <f t="shared" si="14"/>
        <v>146625.935786667</v>
      </c>
      <c r="AA13" s="806">
        <v>141011.988957867</v>
      </c>
      <c r="AB13" s="806">
        <f t="shared" si="15"/>
        <v>5613.94682879967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50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53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56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59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61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64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67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70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72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ref="U24:U34" si="16">24%*(O24-3200000)</f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75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6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485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6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78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6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81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6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83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6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86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6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89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6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91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6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93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6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95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6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>
        <v>33</v>
      </c>
      <c r="B35" s="351" t="s">
        <v>103</v>
      </c>
      <c r="C35" s="471">
        <v>351910.75</v>
      </c>
      <c r="D35" s="466">
        <v>12</v>
      </c>
      <c r="E35" s="467">
        <f t="shared" ref="E35:E42" si="17">C35*D35</f>
        <v>4222929</v>
      </c>
      <c r="F35" s="467"/>
      <c r="G35" s="468">
        <v>289834.32</v>
      </c>
      <c r="H35" s="467"/>
      <c r="I35" s="467">
        <f t="shared" ref="I35:I42" si="18">E35-F35-G35-H35</f>
        <v>3933094.68</v>
      </c>
      <c r="J35" s="467">
        <v>200000</v>
      </c>
      <c r="K35" s="467">
        <v>0.2</v>
      </c>
      <c r="L35" s="467">
        <f t="shared" ref="L35:L42" si="19">I35*K35</f>
        <v>786618.936</v>
      </c>
      <c r="M35" s="467">
        <f t="shared" ref="M35:M42" si="20">J35+L35</f>
        <v>986618.936</v>
      </c>
      <c r="N35" s="467">
        <f t="shared" ref="N35:N42" si="21">F35+G35+H35+M35</f>
        <v>1276453.256</v>
      </c>
      <c r="O35" s="467">
        <f t="shared" ref="O35:O42" si="22">E35-N35</f>
        <v>2946475.744</v>
      </c>
      <c r="P35" s="467">
        <f t="shared" ref="P35:P42" si="23">IF(O35&lt;300000,0.07*O35,21000)</f>
        <v>21000</v>
      </c>
      <c r="Q35" s="467">
        <f t="shared" ref="Q35:Q42" si="24">IF((O35-300000)&lt;0,0,IF((O35-300000)&lt;300000,0.11*(O35-300000),33000))</f>
        <v>33000</v>
      </c>
      <c r="R35" s="467">
        <f t="shared" ref="R35:R42" si="25">IF((O35-600000)&lt;0,0,IF((O35-600000)&lt;500000,0.15*(O35-600000),75000))</f>
        <v>75000</v>
      </c>
      <c r="S35" s="467">
        <f t="shared" ref="S35:S42" si="26">IF((O35-1100000)&lt;0,0,IF((O35-1100000)&lt;500000,0.19*(O35-1100000),95000))</f>
        <v>95000</v>
      </c>
      <c r="T35" s="467">
        <f t="shared" ref="T35:T42" si="27">IF((O35-1600000)&lt;0,0,IF((O35-1600000)&lt;1600000,0.21*(O35-1600000),336000))</f>
        <v>282759.90624</v>
      </c>
      <c r="U35" s="467"/>
      <c r="V35" s="467">
        <f t="shared" ref="V35:V42" si="28">P35+Q35+R35+S35+T35+U35</f>
        <v>506759.90624</v>
      </c>
      <c r="W35" s="467">
        <v>12</v>
      </c>
      <c r="X35" s="467">
        <f t="shared" ref="X35:X42" si="29">V35/W35</f>
        <v>42229.9921866667</v>
      </c>
      <c r="Y35" s="467"/>
      <c r="Z35" s="929">
        <f t="shared" ref="Z35:Z42" si="30">X35</f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>
        <v>34</v>
      </c>
      <c r="B36" s="351" t="s">
        <v>106</v>
      </c>
      <c r="C36" s="467">
        <v>344900.833333334</v>
      </c>
      <c r="D36" s="466">
        <v>12</v>
      </c>
      <c r="E36" s="467">
        <f t="shared" si="17"/>
        <v>4138810.00000001</v>
      </c>
      <c r="F36" s="467"/>
      <c r="G36" s="468">
        <v>283104.8</v>
      </c>
      <c r="H36" s="467"/>
      <c r="I36" s="467">
        <f t="shared" si="18"/>
        <v>3855705.20000001</v>
      </c>
      <c r="J36" s="467">
        <v>200000</v>
      </c>
      <c r="K36" s="467">
        <v>0.2</v>
      </c>
      <c r="L36" s="467">
        <f t="shared" si="19"/>
        <v>771141.040000002</v>
      </c>
      <c r="M36" s="467">
        <f t="shared" si="20"/>
        <v>971141.040000002</v>
      </c>
      <c r="N36" s="467">
        <f t="shared" si="21"/>
        <v>1254245.84</v>
      </c>
      <c r="O36" s="467">
        <f t="shared" si="22"/>
        <v>2884564.16000001</v>
      </c>
      <c r="P36" s="467">
        <f t="shared" si="23"/>
        <v>21000</v>
      </c>
      <c r="Q36" s="467">
        <f t="shared" si="24"/>
        <v>33000</v>
      </c>
      <c r="R36" s="467">
        <f t="shared" si="25"/>
        <v>75000</v>
      </c>
      <c r="S36" s="467">
        <f t="shared" si="26"/>
        <v>95000</v>
      </c>
      <c r="T36" s="467">
        <f t="shared" si="27"/>
        <v>269758.473600001</v>
      </c>
      <c r="U36" s="467"/>
      <c r="V36" s="467">
        <f t="shared" si="28"/>
        <v>493758.473600001</v>
      </c>
      <c r="W36" s="467">
        <v>12</v>
      </c>
      <c r="X36" s="467">
        <f t="shared" si="29"/>
        <v>41146.5394666668</v>
      </c>
      <c r="Y36" s="467"/>
      <c r="Z36" s="929">
        <f t="shared" si="30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121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122</v>
      </c>
      <c r="C39" s="467">
        <v>1847106.41666666</v>
      </c>
      <c r="D39" s="466">
        <v>12</v>
      </c>
      <c r="E39" s="467">
        <f t="shared" si="17"/>
        <v>22165276.9999999</v>
      </c>
      <c r="F39" s="467"/>
      <c r="G39" s="467">
        <v>1677222.16</v>
      </c>
      <c r="H39" s="467"/>
      <c r="I39" s="467">
        <f t="shared" si="18"/>
        <v>20488054.8399999</v>
      </c>
      <c r="J39" s="467">
        <v>200000</v>
      </c>
      <c r="K39" s="467">
        <v>0.2</v>
      </c>
      <c r="L39" s="467">
        <f t="shared" si="19"/>
        <v>4097610.96799998</v>
      </c>
      <c r="M39" s="467">
        <f t="shared" si="20"/>
        <v>4297610.96799998</v>
      </c>
      <c r="N39" s="467">
        <f t="shared" si="21"/>
        <v>5974833.12799998</v>
      </c>
      <c r="O39" s="467">
        <f t="shared" si="22"/>
        <v>16190443.8719999</v>
      </c>
      <c r="P39" s="467">
        <f t="shared" si="23"/>
        <v>21000</v>
      </c>
      <c r="Q39" s="467">
        <f t="shared" si="24"/>
        <v>33000</v>
      </c>
      <c r="R39" s="467">
        <f t="shared" si="25"/>
        <v>75000</v>
      </c>
      <c r="S39" s="467">
        <f t="shared" si="26"/>
        <v>95000</v>
      </c>
      <c r="T39" s="467">
        <f t="shared" si="27"/>
        <v>336000</v>
      </c>
      <c r="U39" s="467">
        <f t="shared" ref="U35:U42" si="31">24%*(O39-3200000)</f>
        <v>3117706.52927999</v>
      </c>
      <c r="V39" s="467">
        <f t="shared" si="28"/>
        <v>3677706.52927999</v>
      </c>
      <c r="W39" s="474">
        <v>12</v>
      </c>
      <c r="X39" s="467">
        <f t="shared" si="29"/>
        <v>306475.544106665</v>
      </c>
      <c r="Y39" s="467"/>
      <c r="Z39" s="929">
        <f t="shared" si="30"/>
        <v>306475.544106665</v>
      </c>
      <c r="AA39" s="806">
        <v>251472.247466667</v>
      </c>
      <c r="AB39" s="806">
        <f t="shared" ref="AB39:AB70" si="32">Z39-AA39</f>
        <v>55003.2966399984</v>
      </c>
      <c r="AC39" s="479"/>
      <c r="AD39" s="479"/>
      <c r="AE39" s="479"/>
    </row>
    <row r="40" ht="15.5" spans="1:31">
      <c r="A40" s="464"/>
      <c r="B40" s="351" t="s">
        <v>127</v>
      </c>
      <c r="C40" s="467">
        <v>441140.666666666</v>
      </c>
      <c r="D40" s="466">
        <v>12</v>
      </c>
      <c r="E40" s="467">
        <f t="shared" si="17"/>
        <v>5293687.99999999</v>
      </c>
      <c r="F40" s="467"/>
      <c r="G40" s="467">
        <v>365895.04</v>
      </c>
      <c r="H40" s="467"/>
      <c r="I40" s="467">
        <f t="shared" si="18"/>
        <v>4927792.95999999</v>
      </c>
      <c r="J40" s="467">
        <v>200000</v>
      </c>
      <c r="K40" s="467">
        <v>0.2</v>
      </c>
      <c r="L40" s="467">
        <f t="shared" si="19"/>
        <v>985558.591999998</v>
      </c>
      <c r="M40" s="467">
        <f t="shared" si="20"/>
        <v>1185558.592</v>
      </c>
      <c r="N40" s="467">
        <f t="shared" si="21"/>
        <v>1551453.632</v>
      </c>
      <c r="O40" s="467">
        <f t="shared" si="22"/>
        <v>3742234.36799999</v>
      </c>
      <c r="P40" s="467">
        <f t="shared" si="23"/>
        <v>21000</v>
      </c>
      <c r="Q40" s="467">
        <f t="shared" si="24"/>
        <v>33000</v>
      </c>
      <c r="R40" s="467">
        <f t="shared" si="25"/>
        <v>75000</v>
      </c>
      <c r="S40" s="467">
        <f t="shared" si="26"/>
        <v>95000</v>
      </c>
      <c r="T40" s="467">
        <f t="shared" si="27"/>
        <v>336000</v>
      </c>
      <c r="U40" s="467">
        <f t="shared" si="31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2"/>
        <v>14974.0220799998</v>
      </c>
      <c r="AC40" s="479"/>
      <c r="AD40" s="479"/>
      <c r="AE40" s="479"/>
    </row>
    <row r="41" ht="15.5" spans="1:31">
      <c r="A41" s="464"/>
      <c r="B41" s="643" t="s">
        <v>129</v>
      </c>
      <c r="C41" s="467">
        <v>450135.833333334</v>
      </c>
      <c r="D41" s="466">
        <v>12</v>
      </c>
      <c r="E41" s="467">
        <f t="shared" si="17"/>
        <v>5401630.00000001</v>
      </c>
      <c r="F41" s="467"/>
      <c r="G41" s="467">
        <v>374530.4</v>
      </c>
      <c r="H41" s="467"/>
      <c r="I41" s="467">
        <f t="shared" si="18"/>
        <v>5027099.60000001</v>
      </c>
      <c r="J41" s="467">
        <v>200000</v>
      </c>
      <c r="K41" s="467">
        <v>0.2</v>
      </c>
      <c r="L41" s="467">
        <f t="shared" si="19"/>
        <v>1005419.92</v>
      </c>
      <c r="M41" s="467">
        <f t="shared" si="20"/>
        <v>1205419.92</v>
      </c>
      <c r="N41" s="467">
        <f t="shared" si="21"/>
        <v>1579950.32</v>
      </c>
      <c r="O41" s="467">
        <f t="shared" si="22"/>
        <v>3821679.68000001</v>
      </c>
      <c r="P41" s="467">
        <f t="shared" si="23"/>
        <v>21000</v>
      </c>
      <c r="Q41" s="467">
        <f t="shared" si="24"/>
        <v>33000</v>
      </c>
      <c r="R41" s="467">
        <f t="shared" si="25"/>
        <v>75000</v>
      </c>
      <c r="S41" s="467">
        <f t="shared" si="26"/>
        <v>95000</v>
      </c>
      <c r="T41" s="467">
        <f t="shared" si="27"/>
        <v>336000</v>
      </c>
      <c r="U41" s="467">
        <f t="shared" si="31"/>
        <v>149203.123200001</v>
      </c>
      <c r="V41" s="467">
        <f t="shared" si="28"/>
        <v>709203.123200001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2"/>
        <v>15336.3530400001</v>
      </c>
      <c r="AC41" s="479"/>
      <c r="AD41" s="479"/>
      <c r="AE41" s="479"/>
    </row>
    <row r="42" ht="15.5" spans="1:31">
      <c r="A42" s="464"/>
      <c r="B42" s="643" t="s">
        <v>133</v>
      </c>
      <c r="C42" s="467">
        <v>398711.666666667</v>
      </c>
      <c r="D42" s="466">
        <v>12</v>
      </c>
      <c r="E42" s="467">
        <f t="shared" si="17"/>
        <v>4784540</v>
      </c>
      <c r="F42" s="467"/>
      <c r="G42" s="468">
        <v>325163.200000001</v>
      </c>
      <c r="H42" s="467"/>
      <c r="I42" s="467">
        <f t="shared" si="18"/>
        <v>4459376.8</v>
      </c>
      <c r="J42" s="467">
        <v>200000</v>
      </c>
      <c r="K42" s="467">
        <v>0.2</v>
      </c>
      <c r="L42" s="467">
        <f t="shared" si="19"/>
        <v>891875.360000001</v>
      </c>
      <c r="M42" s="467">
        <f t="shared" si="20"/>
        <v>1091875.36</v>
      </c>
      <c r="N42" s="467">
        <f t="shared" si="21"/>
        <v>1417038.56</v>
      </c>
      <c r="O42" s="467">
        <f t="shared" si="22"/>
        <v>3367501.44</v>
      </c>
      <c r="P42" s="467">
        <f t="shared" si="23"/>
        <v>21000</v>
      </c>
      <c r="Q42" s="467">
        <f t="shared" si="24"/>
        <v>33000</v>
      </c>
      <c r="R42" s="467">
        <f t="shared" si="25"/>
        <v>75000</v>
      </c>
      <c r="S42" s="467">
        <f t="shared" si="26"/>
        <v>95000</v>
      </c>
      <c r="T42" s="467">
        <f t="shared" si="27"/>
        <v>336000</v>
      </c>
      <c r="U42" s="467">
        <f t="shared" si="31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2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137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138</v>
      </c>
      <c r="C45" s="465">
        <v>1847612</v>
      </c>
      <c r="D45" s="466">
        <v>12</v>
      </c>
      <c r="E45" s="467">
        <f t="shared" ref="E45:E55" si="33">C45*D45</f>
        <v>22171344</v>
      </c>
      <c r="F45" s="467"/>
      <c r="G45" s="468">
        <v>869094.48</v>
      </c>
      <c r="H45" s="467"/>
      <c r="I45" s="467">
        <f t="shared" ref="I45:I55" si="34">E45-F45-G45-H45</f>
        <v>21302249.52</v>
      </c>
      <c r="J45" s="467">
        <v>200000</v>
      </c>
      <c r="K45" s="467">
        <v>0.2</v>
      </c>
      <c r="L45" s="467">
        <f t="shared" ref="L45:L55" si="35">I45*K45</f>
        <v>4260449.904</v>
      </c>
      <c r="M45" s="467">
        <f t="shared" ref="M45:M55" si="36">J45+L45</f>
        <v>4460449.904</v>
      </c>
      <c r="N45" s="467">
        <f t="shared" ref="N45:N55" si="37">F45+G45+H45+M45</f>
        <v>5329544.384</v>
      </c>
      <c r="O45" s="467">
        <f t="shared" ref="O45:O55" si="38">E45-N45</f>
        <v>16841799.616</v>
      </c>
      <c r="P45" s="467">
        <f t="shared" ref="P45:P55" si="39">IF(O45&lt;300000,0.07*O45,21000)</f>
        <v>21000</v>
      </c>
      <c r="Q45" s="467">
        <f t="shared" ref="Q45:Q55" si="40">IF((O45-300000)&lt;0,0,IF((O45-300000)&lt;300000,0.11*(O45-300000),33000))</f>
        <v>33000</v>
      </c>
      <c r="R45" s="467">
        <f t="shared" ref="R45:R55" si="41">IF((O45-600000)&lt;0,0,IF((O45-600000)&lt;500000,0.15*(O45-600000),75000))</f>
        <v>75000</v>
      </c>
      <c r="S45" s="467">
        <f t="shared" ref="S45:S55" si="42">IF((O45-1100000)&lt;0,0,IF((O45-1100000)&lt;500000,0.19*(O45-1100000),95000))</f>
        <v>95000</v>
      </c>
      <c r="T45" s="467">
        <f t="shared" ref="T45:T55" si="43">IF((O45-1600000)&lt;0,0,IF((O45-1600000)&lt;1600000,0.21*(O45-1600000),336000))</f>
        <v>336000</v>
      </c>
      <c r="U45" s="467">
        <f>0.24*(O45-3200000)</f>
        <v>3274031.90784</v>
      </c>
      <c r="V45" s="467">
        <f t="shared" ref="V45:V55" si="44">P45+Q45+R45+S45+T45+U45</f>
        <v>3834031.90784</v>
      </c>
      <c r="W45" s="474">
        <v>12</v>
      </c>
      <c r="X45" s="467">
        <f t="shared" ref="X45:X55" si="45">V45/W45</f>
        <v>319502.658986667</v>
      </c>
      <c r="Y45" s="467"/>
      <c r="Z45" s="929">
        <f t="shared" ref="Z45:Z55" si="46">X45</f>
        <v>319502.658986667</v>
      </c>
      <c r="AA45" s="806">
        <v>162999.59</v>
      </c>
      <c r="AB45" s="806">
        <f t="shared" si="32"/>
        <v>156503.068986667</v>
      </c>
      <c r="AC45" s="479"/>
      <c r="AD45" s="479"/>
      <c r="AE45" s="479"/>
    </row>
    <row r="46" ht="15.5" spans="1:31">
      <c r="A46" s="464">
        <v>36</v>
      </c>
      <c r="B46" s="643" t="s">
        <v>141</v>
      </c>
      <c r="C46" s="467">
        <v>904477</v>
      </c>
      <c r="D46" s="466">
        <v>12</v>
      </c>
      <c r="E46" s="467">
        <f t="shared" si="33"/>
        <v>10853724</v>
      </c>
      <c r="F46" s="470"/>
      <c r="G46" s="468">
        <v>714697.92</v>
      </c>
      <c r="H46" s="470"/>
      <c r="I46" s="467">
        <f t="shared" si="34"/>
        <v>10139026.08</v>
      </c>
      <c r="J46" s="467">
        <v>200000</v>
      </c>
      <c r="K46" s="467">
        <v>0.2</v>
      </c>
      <c r="L46" s="467">
        <f t="shared" si="35"/>
        <v>2027805.216</v>
      </c>
      <c r="M46" s="467">
        <f t="shared" si="36"/>
        <v>2227805.216</v>
      </c>
      <c r="N46" s="467">
        <f t="shared" si="37"/>
        <v>2942503.136</v>
      </c>
      <c r="O46" s="467">
        <f t="shared" si="38"/>
        <v>7911220.864</v>
      </c>
      <c r="P46" s="467">
        <f t="shared" si="39"/>
        <v>21000</v>
      </c>
      <c r="Q46" s="467">
        <f t="shared" si="40"/>
        <v>33000</v>
      </c>
      <c r="R46" s="467">
        <f t="shared" si="41"/>
        <v>75000</v>
      </c>
      <c r="S46" s="467">
        <f t="shared" si="42"/>
        <v>95000</v>
      </c>
      <c r="T46" s="467">
        <f t="shared" si="43"/>
        <v>336000</v>
      </c>
      <c r="U46" s="467">
        <f t="shared" ref="U46:U52" si="47">24%*(O46-3200000)</f>
        <v>1130693.00736</v>
      </c>
      <c r="V46" s="467">
        <f t="shared" si="44"/>
        <v>1690693.00736</v>
      </c>
      <c r="W46" s="474">
        <v>12</v>
      </c>
      <c r="X46" s="467">
        <f t="shared" si="45"/>
        <v>140891.083946667</v>
      </c>
      <c r="Y46" s="470"/>
      <c r="Z46" s="929">
        <f t="shared" si="46"/>
        <v>140891.083946667</v>
      </c>
      <c r="AA46" s="806">
        <v>119022.801706667</v>
      </c>
      <c r="AB46" s="806">
        <f t="shared" si="32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143</v>
      </c>
      <c r="C47" s="467">
        <v>968360</v>
      </c>
      <c r="D47" s="466">
        <v>12</v>
      </c>
      <c r="E47" s="467">
        <f t="shared" si="33"/>
        <v>11620320</v>
      </c>
      <c r="F47" s="470"/>
      <c r="G47" s="468"/>
      <c r="H47" s="470"/>
      <c r="I47" s="467">
        <f t="shared" si="34"/>
        <v>11620320</v>
      </c>
      <c r="J47" s="467">
        <v>200000</v>
      </c>
      <c r="K47" s="467">
        <v>0.2</v>
      </c>
      <c r="L47" s="467">
        <f t="shared" si="35"/>
        <v>2324064</v>
      </c>
      <c r="M47" s="467">
        <f t="shared" si="36"/>
        <v>2524064</v>
      </c>
      <c r="N47" s="467">
        <f t="shared" si="37"/>
        <v>2524064</v>
      </c>
      <c r="O47" s="467">
        <f t="shared" si="38"/>
        <v>9096256</v>
      </c>
      <c r="P47" s="467">
        <f t="shared" si="39"/>
        <v>21000</v>
      </c>
      <c r="Q47" s="467">
        <f t="shared" si="40"/>
        <v>33000</v>
      </c>
      <c r="R47" s="467">
        <f t="shared" si="41"/>
        <v>75000</v>
      </c>
      <c r="S47" s="467">
        <f t="shared" si="42"/>
        <v>95000</v>
      </c>
      <c r="T47" s="467">
        <f t="shared" si="43"/>
        <v>336000</v>
      </c>
      <c r="U47" s="467">
        <f t="shared" si="47"/>
        <v>1415101.44</v>
      </c>
      <c r="V47" s="467">
        <f t="shared" si="44"/>
        <v>1975101.44</v>
      </c>
      <c r="W47" s="474">
        <v>12</v>
      </c>
      <c r="X47" s="467">
        <f t="shared" si="45"/>
        <v>164591.786666667</v>
      </c>
      <c r="Y47" s="470"/>
      <c r="Z47" s="929">
        <f t="shared" si="46"/>
        <v>164591.786666667</v>
      </c>
      <c r="AA47" s="806">
        <v>118861.965706667</v>
      </c>
      <c r="AB47" s="806">
        <f t="shared" si="32"/>
        <v>45729.8209599996</v>
      </c>
      <c r="AC47" s="479"/>
      <c r="AD47" s="479"/>
      <c r="AE47" s="479"/>
    </row>
    <row r="48" ht="15.5" spans="1:31">
      <c r="A48" s="464">
        <v>38</v>
      </c>
      <c r="B48" s="643" t="s">
        <v>144</v>
      </c>
      <c r="C48" s="467">
        <v>882595.5</v>
      </c>
      <c r="D48" s="466">
        <v>12</v>
      </c>
      <c r="E48" s="467">
        <f t="shared" si="33"/>
        <v>10591146</v>
      </c>
      <c r="F48" s="470"/>
      <c r="G48" s="468">
        <v>693691.68</v>
      </c>
      <c r="H48" s="470"/>
      <c r="I48" s="467">
        <f t="shared" si="34"/>
        <v>9897454.32</v>
      </c>
      <c r="J48" s="467">
        <v>200000</v>
      </c>
      <c r="K48" s="467">
        <v>0.2</v>
      </c>
      <c r="L48" s="467">
        <f t="shared" si="35"/>
        <v>1979490.864</v>
      </c>
      <c r="M48" s="467">
        <f t="shared" si="36"/>
        <v>2179490.864</v>
      </c>
      <c r="N48" s="467">
        <f t="shared" si="37"/>
        <v>2873182.544</v>
      </c>
      <c r="O48" s="467">
        <f t="shared" si="38"/>
        <v>7717963.456</v>
      </c>
      <c r="P48" s="467">
        <f t="shared" si="39"/>
        <v>21000</v>
      </c>
      <c r="Q48" s="467">
        <f t="shared" si="40"/>
        <v>33000</v>
      </c>
      <c r="R48" s="467">
        <f t="shared" si="41"/>
        <v>75000</v>
      </c>
      <c r="S48" s="467">
        <f t="shared" si="42"/>
        <v>95000</v>
      </c>
      <c r="T48" s="467">
        <f t="shared" si="43"/>
        <v>336000</v>
      </c>
      <c r="U48" s="467">
        <f t="shared" si="47"/>
        <v>1084311.22944</v>
      </c>
      <c r="V48" s="467">
        <f t="shared" si="44"/>
        <v>1644311.22944</v>
      </c>
      <c r="W48" s="474">
        <v>12</v>
      </c>
      <c r="X48" s="467">
        <f t="shared" si="45"/>
        <v>137025.935786667</v>
      </c>
      <c r="Y48" s="470"/>
      <c r="Z48" s="929">
        <f t="shared" si="46"/>
        <v>137025.935786667</v>
      </c>
      <c r="AA48" s="806">
        <v>112212.004906667</v>
      </c>
      <c r="AB48" s="806">
        <f t="shared" si="32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145</v>
      </c>
      <c r="C49" s="467">
        <v>860713.916666666</v>
      </c>
      <c r="D49" s="466">
        <v>12</v>
      </c>
      <c r="E49" s="467">
        <f t="shared" si="33"/>
        <v>10328567</v>
      </c>
      <c r="F49" s="467"/>
      <c r="G49" s="468">
        <v>672685.36</v>
      </c>
      <c r="H49" s="470"/>
      <c r="I49" s="467">
        <f t="shared" si="34"/>
        <v>9655881.63999999</v>
      </c>
      <c r="J49" s="467">
        <v>200000</v>
      </c>
      <c r="K49" s="467">
        <v>0.2</v>
      </c>
      <c r="L49" s="467">
        <f t="shared" si="35"/>
        <v>1931176.328</v>
      </c>
      <c r="M49" s="467">
        <f t="shared" si="36"/>
        <v>2131176.328</v>
      </c>
      <c r="N49" s="467">
        <f t="shared" si="37"/>
        <v>2803861.688</v>
      </c>
      <c r="O49" s="467">
        <f t="shared" si="38"/>
        <v>7524705.31199999</v>
      </c>
      <c r="P49" s="467">
        <f t="shared" si="39"/>
        <v>21000</v>
      </c>
      <c r="Q49" s="467">
        <f t="shared" si="40"/>
        <v>33000</v>
      </c>
      <c r="R49" s="467">
        <f t="shared" si="41"/>
        <v>75000</v>
      </c>
      <c r="S49" s="467">
        <f t="shared" si="42"/>
        <v>95000</v>
      </c>
      <c r="T49" s="467">
        <f t="shared" si="43"/>
        <v>336000</v>
      </c>
      <c r="U49" s="467">
        <f t="shared" si="47"/>
        <v>1037929.27488</v>
      </c>
      <c r="V49" s="467">
        <f t="shared" si="44"/>
        <v>1597929.27488</v>
      </c>
      <c r="W49" s="474">
        <v>12</v>
      </c>
      <c r="X49" s="467">
        <f t="shared" si="45"/>
        <v>133160.772906667</v>
      </c>
      <c r="Y49" s="470"/>
      <c r="Z49" s="929">
        <f t="shared" si="46"/>
        <v>133160.772906667</v>
      </c>
      <c r="AA49" s="806">
        <v>112211.988957867</v>
      </c>
      <c r="AB49" s="806">
        <f t="shared" si="32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149</v>
      </c>
      <c r="C50" s="467">
        <v>490135.833333334</v>
      </c>
      <c r="D50" s="466">
        <v>12</v>
      </c>
      <c r="E50" s="467">
        <f t="shared" si="33"/>
        <v>5881630.00000001</v>
      </c>
      <c r="F50" s="467"/>
      <c r="G50" s="468">
        <v>374530.4</v>
      </c>
      <c r="H50" s="470"/>
      <c r="I50" s="467">
        <f t="shared" si="34"/>
        <v>5507099.60000001</v>
      </c>
      <c r="J50" s="467">
        <v>200000</v>
      </c>
      <c r="K50" s="467">
        <v>0.2</v>
      </c>
      <c r="L50" s="467">
        <f t="shared" si="35"/>
        <v>1101419.92</v>
      </c>
      <c r="M50" s="467">
        <f t="shared" si="36"/>
        <v>1301419.92</v>
      </c>
      <c r="N50" s="467">
        <f t="shared" si="37"/>
        <v>1675950.32</v>
      </c>
      <c r="O50" s="467">
        <f t="shared" si="38"/>
        <v>4205679.68000001</v>
      </c>
      <c r="P50" s="467">
        <f t="shared" si="39"/>
        <v>21000</v>
      </c>
      <c r="Q50" s="467">
        <f t="shared" si="40"/>
        <v>33000</v>
      </c>
      <c r="R50" s="467">
        <f t="shared" si="41"/>
        <v>75000</v>
      </c>
      <c r="S50" s="467">
        <f t="shared" si="42"/>
        <v>95000</v>
      </c>
      <c r="T50" s="467">
        <f t="shared" si="43"/>
        <v>336000</v>
      </c>
      <c r="U50" s="467">
        <f t="shared" si="47"/>
        <v>241363.123200002</v>
      </c>
      <c r="V50" s="467">
        <f t="shared" si="44"/>
        <v>801363.123200002</v>
      </c>
      <c r="W50" s="474">
        <v>12</v>
      </c>
      <c r="X50" s="467">
        <f t="shared" si="45"/>
        <v>66780.2602666668</v>
      </c>
      <c r="Y50" s="470"/>
      <c r="Z50" s="929">
        <f t="shared" si="46"/>
        <v>66780.2602666668</v>
      </c>
      <c r="AA50" s="806">
        <v>51029.2273066667</v>
      </c>
      <c r="AB50" s="806">
        <f t="shared" si="32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153</v>
      </c>
      <c r="C51" s="467">
        <v>447016.166666666</v>
      </c>
      <c r="D51" s="466">
        <v>12</v>
      </c>
      <c r="E51" s="467">
        <f t="shared" si="33"/>
        <v>5364193.99999999</v>
      </c>
      <c r="F51" s="467"/>
      <c r="G51" s="468">
        <v>333135.52</v>
      </c>
      <c r="H51" s="470"/>
      <c r="I51" s="467">
        <f t="shared" si="34"/>
        <v>5031058.47999999</v>
      </c>
      <c r="J51" s="467">
        <v>200000</v>
      </c>
      <c r="K51" s="467">
        <v>0.2</v>
      </c>
      <c r="L51" s="467">
        <f t="shared" si="35"/>
        <v>1006211.696</v>
      </c>
      <c r="M51" s="467">
        <f t="shared" si="36"/>
        <v>1206211.696</v>
      </c>
      <c r="N51" s="467">
        <f t="shared" si="37"/>
        <v>1539347.216</v>
      </c>
      <c r="O51" s="467">
        <f t="shared" si="38"/>
        <v>3824846.78399999</v>
      </c>
      <c r="P51" s="467">
        <f t="shared" si="39"/>
        <v>21000</v>
      </c>
      <c r="Q51" s="467">
        <f t="shared" si="40"/>
        <v>33000</v>
      </c>
      <c r="R51" s="467">
        <f t="shared" si="41"/>
        <v>75000</v>
      </c>
      <c r="S51" s="467">
        <f t="shared" si="42"/>
        <v>95000</v>
      </c>
      <c r="T51" s="467">
        <f t="shared" si="43"/>
        <v>336000</v>
      </c>
      <c r="U51" s="467">
        <f t="shared" si="47"/>
        <v>149963.228159998</v>
      </c>
      <c r="V51" s="467">
        <f t="shared" si="44"/>
        <v>709963.228159998</v>
      </c>
      <c r="W51" s="474">
        <v>12</v>
      </c>
      <c r="X51" s="467">
        <f t="shared" si="45"/>
        <v>59163.6023466665</v>
      </c>
      <c r="Y51" s="470"/>
      <c r="Z51" s="929">
        <f t="shared" si="46"/>
        <v>59163.6023466665</v>
      </c>
      <c r="AA51" s="806">
        <v>44641.5005866667</v>
      </c>
      <c r="AB51" s="806">
        <f t="shared" si="32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154</v>
      </c>
      <c r="C52" s="467">
        <v>447016.166666666</v>
      </c>
      <c r="D52" s="466">
        <v>12</v>
      </c>
      <c r="E52" s="467">
        <f t="shared" si="33"/>
        <v>5364193.99999999</v>
      </c>
      <c r="F52" s="467"/>
      <c r="G52" s="468">
        <v>333135.52</v>
      </c>
      <c r="H52" s="470"/>
      <c r="I52" s="467">
        <f t="shared" si="34"/>
        <v>5031058.47999999</v>
      </c>
      <c r="J52" s="467">
        <v>200000</v>
      </c>
      <c r="K52" s="467">
        <v>0.2</v>
      </c>
      <c r="L52" s="467">
        <f t="shared" si="35"/>
        <v>1006211.696</v>
      </c>
      <c r="M52" s="467">
        <f t="shared" si="36"/>
        <v>1206211.696</v>
      </c>
      <c r="N52" s="467">
        <f t="shared" si="37"/>
        <v>1539347.216</v>
      </c>
      <c r="O52" s="467">
        <f t="shared" si="38"/>
        <v>3824846.78399999</v>
      </c>
      <c r="P52" s="467">
        <f t="shared" si="39"/>
        <v>21000</v>
      </c>
      <c r="Q52" s="467">
        <f t="shared" si="40"/>
        <v>33000</v>
      </c>
      <c r="R52" s="467">
        <f t="shared" si="41"/>
        <v>75000</v>
      </c>
      <c r="S52" s="467">
        <f t="shared" si="42"/>
        <v>95000</v>
      </c>
      <c r="T52" s="467">
        <f t="shared" si="43"/>
        <v>336000</v>
      </c>
      <c r="U52" s="467">
        <f t="shared" si="47"/>
        <v>149963.228159998</v>
      </c>
      <c r="V52" s="467">
        <f t="shared" si="44"/>
        <v>709963.228159998</v>
      </c>
      <c r="W52" s="474">
        <v>12</v>
      </c>
      <c r="X52" s="467">
        <f t="shared" si="45"/>
        <v>59163.6023466665</v>
      </c>
      <c r="Y52" s="470"/>
      <c r="Z52" s="929">
        <f t="shared" si="46"/>
        <v>59163.6023466665</v>
      </c>
      <c r="AA52" s="806">
        <v>44641.5005866667</v>
      </c>
      <c r="AB52" s="806">
        <f t="shared" si="32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156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157</v>
      </c>
      <c r="C55" s="467">
        <v>1947106.41666666</v>
      </c>
      <c r="D55" s="466">
        <v>12</v>
      </c>
      <c r="E55" s="467">
        <f t="shared" ref="E55:E68" si="48">C55*D55</f>
        <v>23365276.9999999</v>
      </c>
      <c r="F55" s="467"/>
      <c r="G55" s="468">
        <v>1677222.16</v>
      </c>
      <c r="H55" s="470"/>
      <c r="I55" s="467">
        <f t="shared" ref="I55:I68" si="49">E55-F55-G55-H55</f>
        <v>21688054.8399999</v>
      </c>
      <c r="J55" s="467">
        <v>200000</v>
      </c>
      <c r="K55" s="467">
        <v>0.2</v>
      </c>
      <c r="L55" s="467">
        <f t="shared" ref="L55:L68" si="50">I55*K55</f>
        <v>4337610.96799998</v>
      </c>
      <c r="M55" s="467">
        <f t="shared" ref="M55:M68" si="51">J55+L55</f>
        <v>4537610.96799998</v>
      </c>
      <c r="N55" s="467">
        <f t="shared" ref="N55:N68" si="52">F55+G55+H55+M55</f>
        <v>6214833.12799998</v>
      </c>
      <c r="O55" s="467">
        <f t="shared" ref="O55:O68" si="53">E55-N55</f>
        <v>17150443.8719999</v>
      </c>
      <c r="P55" s="467">
        <f t="shared" ref="P55:P68" si="54">IF(O55&lt;300000,0.07*O55,21000)</f>
        <v>21000</v>
      </c>
      <c r="Q55" s="467">
        <f t="shared" ref="Q55:Q68" si="55">IF((O55-300000)&lt;0,0,IF((O55-300000)&lt;300000,0.11*(O55-300000),33000))</f>
        <v>33000</v>
      </c>
      <c r="R55" s="467">
        <f t="shared" ref="R55:R68" si="56">IF((O55-600000)&lt;0,0,IF((O55-600000)&lt;500000,0.15*(O55-600000),75000))</f>
        <v>75000</v>
      </c>
      <c r="S55" s="467">
        <f t="shared" ref="S55:S68" si="57">IF((O55-1100000)&lt;0,0,IF((O55-1100000)&lt;500000,0.19*(O55-1100000),95000))</f>
        <v>95000</v>
      </c>
      <c r="T55" s="467">
        <f t="shared" ref="T55:T68" si="58">IF((O55-1600000)&lt;0,0,IF((O55-1600000)&lt;1600000,0.21*(O55-1600000),336000))</f>
        <v>336000</v>
      </c>
      <c r="U55" s="467">
        <f t="shared" ref="U55:U68" si="59">24%*(O55-3200000)</f>
        <v>3348106.52927998</v>
      </c>
      <c r="V55" s="467">
        <f t="shared" ref="V55:V68" si="60">P55+Q55+R55+S55+T55+U55</f>
        <v>3908106.52927998</v>
      </c>
      <c r="W55" s="474">
        <v>12</v>
      </c>
      <c r="X55" s="467">
        <f t="shared" ref="X55:X68" si="61">V55/W55</f>
        <v>325675.544106665</v>
      </c>
      <c r="Y55" s="470"/>
      <c r="Z55" s="929">
        <f t="shared" ref="Z55:Z68" si="62">X55</f>
        <v>325675.544106665</v>
      </c>
      <c r="AA55" s="806">
        <v>270672.247466667</v>
      </c>
      <c r="AB55" s="806">
        <f t="shared" si="32"/>
        <v>55003.296639998</v>
      </c>
      <c r="AC55" s="479"/>
      <c r="AD55" s="479"/>
      <c r="AE55" s="479"/>
    </row>
    <row r="56" ht="15.5" spans="1:31">
      <c r="A56" s="464">
        <v>48</v>
      </c>
      <c r="B56" s="643" t="s">
        <v>159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32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162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163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32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165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32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169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</v>
      </c>
      <c r="V61" s="467">
        <f t="shared" si="60"/>
        <v>991205.68832</v>
      </c>
      <c r="W61" s="474">
        <v>12</v>
      </c>
      <c r="X61" s="467">
        <f t="shared" si="61"/>
        <v>82600.4740266666</v>
      </c>
      <c r="Y61" s="470"/>
      <c r="Z61" s="929">
        <f t="shared" si="62"/>
        <v>82600.4740266666</v>
      </c>
      <c r="AA61" s="806">
        <v>64384.5917866667</v>
      </c>
      <c r="AB61" s="806">
        <f t="shared" si="32"/>
        <v>18215.8822399999</v>
      </c>
      <c r="AC61" s="479"/>
      <c r="AD61" s="479"/>
      <c r="AE61" s="479"/>
    </row>
    <row r="62" ht="15.5" spans="1:31">
      <c r="A62" s="464">
        <v>53</v>
      </c>
      <c r="B62" s="351" t="s">
        <v>171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</v>
      </c>
      <c r="V62" s="467">
        <f t="shared" si="60"/>
        <v>991205.68832</v>
      </c>
      <c r="W62" s="474">
        <v>12</v>
      </c>
      <c r="X62" s="467">
        <f t="shared" si="61"/>
        <v>82600.4740266666</v>
      </c>
      <c r="Y62" s="470"/>
      <c r="Z62" s="929">
        <f t="shared" si="62"/>
        <v>82600.4740266666</v>
      </c>
      <c r="AA62" s="806">
        <v>64384.5917866667</v>
      </c>
      <c r="AB62" s="806">
        <f t="shared" si="32"/>
        <v>18215.8822399999</v>
      </c>
      <c r="AC62" s="479"/>
      <c r="AD62" s="479"/>
      <c r="AE62" s="479"/>
    </row>
    <row r="63" ht="15.5" spans="1:31">
      <c r="A63" s="464">
        <v>54</v>
      </c>
      <c r="B63" s="639" t="s">
        <v>172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</v>
      </c>
      <c r="V63" s="467">
        <f t="shared" si="60"/>
        <v>991205.68832</v>
      </c>
      <c r="W63" s="474">
        <v>12</v>
      </c>
      <c r="X63" s="467">
        <f t="shared" si="61"/>
        <v>82600.4740266666</v>
      </c>
      <c r="Y63" s="470"/>
      <c r="Z63" s="929">
        <f t="shared" si="62"/>
        <v>82600.4740266666</v>
      </c>
      <c r="AA63" s="806">
        <v>64384.5917866667</v>
      </c>
      <c r="AB63" s="806">
        <f t="shared" si="32"/>
        <v>18215.8822399999</v>
      </c>
      <c r="AC63" s="479"/>
      <c r="AD63" s="479"/>
      <c r="AE63" s="479"/>
    </row>
    <row r="64" ht="15.5" spans="1:31">
      <c r="A64" s="464">
        <v>55</v>
      </c>
      <c r="B64" s="643" t="s">
        <v>173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32"/>
        <v>18506.1312</v>
      </c>
      <c r="AC64" s="479"/>
      <c r="AD64" s="479"/>
      <c r="AE64" s="479"/>
    </row>
    <row r="65" ht="15.5" spans="1:31">
      <c r="A65" s="464">
        <v>56</v>
      </c>
      <c r="B65" s="643" t="s">
        <v>177</v>
      </c>
      <c r="C65" s="467">
        <v>490135.833333334</v>
      </c>
      <c r="D65" s="466">
        <v>12</v>
      </c>
      <c r="E65" s="467">
        <f t="shared" si="48"/>
        <v>5881630.00000001</v>
      </c>
      <c r="F65" s="467">
        <f>6154.27916666668*12</f>
        <v>73851.3500000002</v>
      </c>
      <c r="G65" s="468">
        <v>374530.4</v>
      </c>
      <c r="H65" s="470"/>
      <c r="I65" s="467">
        <f t="shared" si="49"/>
        <v>5433248.25000001</v>
      </c>
      <c r="J65" s="467">
        <v>200000</v>
      </c>
      <c r="K65" s="467">
        <v>0.2</v>
      </c>
      <c r="L65" s="467">
        <f t="shared" si="50"/>
        <v>1086649.65</v>
      </c>
      <c r="M65" s="467">
        <f t="shared" si="51"/>
        <v>1286649.65</v>
      </c>
      <c r="N65" s="467">
        <f t="shared" si="52"/>
        <v>1735031.4</v>
      </c>
      <c r="O65" s="467">
        <f t="shared" si="53"/>
        <v>4146598.60000001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227183.664000002</v>
      </c>
      <c r="V65" s="467">
        <f t="shared" si="60"/>
        <v>787183.664000002</v>
      </c>
      <c r="W65" s="474">
        <v>12</v>
      </c>
      <c r="X65" s="467">
        <f t="shared" si="61"/>
        <v>65598.6386666668</v>
      </c>
      <c r="Y65" s="470"/>
      <c r="Z65" s="929">
        <f t="shared" si="62"/>
        <v>65598.6386666668</v>
      </c>
      <c r="AA65" s="806">
        <v>51029.2273066667</v>
      </c>
      <c r="AB65" s="806">
        <f t="shared" si="32"/>
        <v>14569.4113600001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180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181</v>
      </c>
      <c r="C68" s="467">
        <v>1947106.41666666</v>
      </c>
      <c r="D68" s="466">
        <v>12</v>
      </c>
      <c r="E68" s="467">
        <f t="shared" ref="E68:E74" si="63">C68*D68</f>
        <v>23365276.9999999</v>
      </c>
      <c r="F68" s="467"/>
      <c r="G68" s="468">
        <v>1677222.16</v>
      </c>
      <c r="H68" s="470"/>
      <c r="I68" s="467">
        <f t="shared" ref="I68:I74" si="64">E68-F68-G68-H68</f>
        <v>21688054.8399999</v>
      </c>
      <c r="J68" s="467">
        <v>200000</v>
      </c>
      <c r="K68" s="467">
        <v>0.2</v>
      </c>
      <c r="L68" s="467">
        <f t="shared" ref="L68:L74" si="65">I68*K68</f>
        <v>4337610.96799998</v>
      </c>
      <c r="M68" s="467">
        <f t="shared" ref="M68:M74" si="66">J68+L68</f>
        <v>4537610.96799998</v>
      </c>
      <c r="N68" s="467">
        <f t="shared" ref="N68:N74" si="67">F68+G68+H68+M68</f>
        <v>6214833.12799998</v>
      </c>
      <c r="O68" s="467">
        <f t="shared" ref="O68:O74" si="68">E68-N68</f>
        <v>17150443.8719999</v>
      </c>
      <c r="P68" s="467">
        <f t="shared" ref="P68:P74" si="69">IF(O68&lt;300000,0.07*O68,21000)</f>
        <v>21000</v>
      </c>
      <c r="Q68" s="467">
        <f t="shared" ref="Q68:Q74" si="70">IF((O68-300000)&lt;0,0,IF((O68-300000)&lt;300000,0.11*(O68-300000),33000))</f>
        <v>33000</v>
      </c>
      <c r="R68" s="467">
        <f t="shared" ref="R68:R74" si="71">IF((O68-600000)&lt;0,0,IF((O68-600000)&lt;500000,0.15*(O68-600000),75000))</f>
        <v>75000</v>
      </c>
      <c r="S68" s="467">
        <f t="shared" ref="S68:S74" si="72">IF((O68-1100000)&lt;0,0,IF((O68-1100000)&lt;500000,0.19*(O68-1100000),95000))</f>
        <v>95000</v>
      </c>
      <c r="T68" s="467">
        <f t="shared" ref="T68:T74" si="73">IF((O68-1600000)&lt;0,0,IF((O68-1600000)&lt;1600000,0.21*(O68-1600000),336000))</f>
        <v>336000</v>
      </c>
      <c r="U68" s="467">
        <f t="shared" ref="U68:U71" si="74">24%*(O68-3200000)</f>
        <v>3348106.52927999</v>
      </c>
      <c r="V68" s="467">
        <f t="shared" ref="V68:V74" si="75">P68+Q68+R68+S68+T68+U68</f>
        <v>3908106.52927999</v>
      </c>
      <c r="W68" s="474">
        <v>12</v>
      </c>
      <c r="X68" s="467">
        <f t="shared" ref="X68:X74" si="76">V68/W68</f>
        <v>325675.544106665</v>
      </c>
      <c r="Y68" s="470"/>
      <c r="Z68" s="929">
        <f t="shared" ref="Z68:Z74" si="77">X68</f>
        <v>325675.544106665</v>
      </c>
      <c r="AA68" s="806">
        <v>270672.247466667</v>
      </c>
      <c r="AB68" s="806">
        <f t="shared" si="32"/>
        <v>55003.2966399984</v>
      </c>
      <c r="AC68" s="479"/>
      <c r="AD68" s="479"/>
      <c r="AE68" s="479"/>
    </row>
    <row r="69" ht="15.5" spans="1:31">
      <c r="A69" s="464">
        <v>62</v>
      </c>
      <c r="B69" s="643" t="s">
        <v>185</v>
      </c>
      <c r="C69" s="467">
        <v>882595.5</v>
      </c>
      <c r="D69" s="466">
        <v>12</v>
      </c>
      <c r="E69" s="467">
        <f t="shared" si="63"/>
        <v>10591146</v>
      </c>
      <c r="F69" s="467"/>
      <c r="G69" s="468">
        <v>693691.68</v>
      </c>
      <c r="H69" s="470"/>
      <c r="I69" s="467">
        <f t="shared" si="64"/>
        <v>9897454.32</v>
      </c>
      <c r="J69" s="467">
        <v>200000</v>
      </c>
      <c r="K69" s="467">
        <v>0.2</v>
      </c>
      <c r="L69" s="467">
        <f t="shared" si="65"/>
        <v>1979490.864</v>
      </c>
      <c r="M69" s="467">
        <f t="shared" si="66"/>
        <v>2179490.864</v>
      </c>
      <c r="N69" s="467">
        <f t="shared" si="67"/>
        <v>2873182.544</v>
      </c>
      <c r="O69" s="467">
        <f t="shared" si="68"/>
        <v>7717963.456</v>
      </c>
      <c r="P69" s="467">
        <f t="shared" si="69"/>
        <v>21000</v>
      </c>
      <c r="Q69" s="467">
        <f t="shared" si="70"/>
        <v>33000</v>
      </c>
      <c r="R69" s="467">
        <f t="shared" si="71"/>
        <v>75000</v>
      </c>
      <c r="S69" s="467">
        <f t="shared" si="72"/>
        <v>95000</v>
      </c>
      <c r="T69" s="467">
        <f t="shared" si="73"/>
        <v>336000</v>
      </c>
      <c r="U69" s="467">
        <f t="shared" si="74"/>
        <v>1084311.22944</v>
      </c>
      <c r="V69" s="467">
        <f t="shared" si="75"/>
        <v>1644311.22944</v>
      </c>
      <c r="W69" s="474">
        <v>12</v>
      </c>
      <c r="X69" s="467">
        <f t="shared" si="76"/>
        <v>137025.935786667</v>
      </c>
      <c r="Y69" s="470"/>
      <c r="Z69" s="929">
        <f t="shared" si="77"/>
        <v>137025.935786667</v>
      </c>
      <c r="AA69" s="806">
        <v>112212.004906667</v>
      </c>
      <c r="AB69" s="806">
        <f t="shared" si="32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187</v>
      </c>
      <c r="C70" s="467">
        <v>713911.083333334</v>
      </c>
      <c r="D70" s="466">
        <v>12</v>
      </c>
      <c r="E70" s="467">
        <f t="shared" si="63"/>
        <v>8566933.00000001</v>
      </c>
      <c r="F70" s="467">
        <v>107120</v>
      </c>
      <c r="G70" s="468">
        <v>550954.64</v>
      </c>
      <c r="H70" s="470"/>
      <c r="I70" s="467">
        <f t="shared" si="64"/>
        <v>7908858.36000001</v>
      </c>
      <c r="J70" s="467">
        <v>200000</v>
      </c>
      <c r="K70" s="467">
        <v>0.2</v>
      </c>
      <c r="L70" s="467">
        <f t="shared" si="65"/>
        <v>1581771.672</v>
      </c>
      <c r="M70" s="467">
        <f t="shared" si="66"/>
        <v>1781771.672</v>
      </c>
      <c r="N70" s="467">
        <f t="shared" si="67"/>
        <v>2439846.312</v>
      </c>
      <c r="O70" s="467">
        <f t="shared" si="68"/>
        <v>6127086.68800001</v>
      </c>
      <c r="P70" s="467">
        <f t="shared" si="69"/>
        <v>21000</v>
      </c>
      <c r="Q70" s="467">
        <f t="shared" si="70"/>
        <v>33000</v>
      </c>
      <c r="R70" s="467">
        <f t="shared" si="71"/>
        <v>75000</v>
      </c>
      <c r="S70" s="467">
        <f t="shared" si="72"/>
        <v>95000</v>
      </c>
      <c r="T70" s="467">
        <f t="shared" si="73"/>
        <v>336000</v>
      </c>
      <c r="U70" s="467">
        <f t="shared" si="74"/>
        <v>702500.805120001</v>
      </c>
      <c r="V70" s="467">
        <f t="shared" si="75"/>
        <v>1262500.80512</v>
      </c>
      <c r="W70" s="474">
        <v>12</v>
      </c>
      <c r="X70" s="467">
        <f t="shared" si="76"/>
        <v>105208.400426667</v>
      </c>
      <c r="Y70" s="470"/>
      <c r="Z70" s="929">
        <f t="shared" si="77"/>
        <v>105208.400426667</v>
      </c>
      <c r="AA70" s="806">
        <v>86076.1041866667</v>
      </c>
      <c r="AB70" s="806">
        <f t="shared" si="32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194</v>
      </c>
      <c r="C71" s="467">
        <v>564993.583333333</v>
      </c>
      <c r="D71" s="466">
        <v>12</v>
      </c>
      <c r="E71" s="467">
        <f t="shared" si="63"/>
        <v>6779923</v>
      </c>
      <c r="F71" s="467"/>
      <c r="G71" s="468">
        <v>436793.839999999</v>
      </c>
      <c r="H71" s="470"/>
      <c r="I71" s="467">
        <f t="shared" si="64"/>
        <v>6343129.16</v>
      </c>
      <c r="J71" s="467">
        <v>200000</v>
      </c>
      <c r="K71" s="467">
        <v>0.2</v>
      </c>
      <c r="L71" s="467">
        <f t="shared" si="65"/>
        <v>1268625.832</v>
      </c>
      <c r="M71" s="467">
        <f t="shared" si="66"/>
        <v>1468625.832</v>
      </c>
      <c r="N71" s="467">
        <f t="shared" si="67"/>
        <v>1905419.672</v>
      </c>
      <c r="O71" s="467">
        <f t="shared" si="68"/>
        <v>4874503.328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401880.798719999</v>
      </c>
      <c r="V71" s="467">
        <f t="shared" si="75"/>
        <v>961880.798719999</v>
      </c>
      <c r="W71" s="474">
        <v>12</v>
      </c>
      <c r="X71" s="467">
        <f t="shared" si="76"/>
        <v>80156.7332266666</v>
      </c>
      <c r="Y71" s="470"/>
      <c r="Z71" s="929">
        <f t="shared" si="77"/>
        <v>80156.7332266666</v>
      </c>
      <c r="AA71" s="806">
        <v>62231.1146666667</v>
      </c>
      <c r="AB71" s="806">
        <f t="shared" ref="AB71:AB102" si="78">Z71-AA71</f>
        <v>17925.6185599999</v>
      </c>
      <c r="AC71" s="479"/>
      <c r="AD71" s="479"/>
      <c r="AE71" s="479"/>
    </row>
    <row r="72" ht="15.5" spans="1:31">
      <c r="A72" s="464">
        <v>65</v>
      </c>
      <c r="B72" s="643" t="s">
        <v>198</v>
      </c>
      <c r="C72" s="467">
        <v>447016.166666666</v>
      </c>
      <c r="D72" s="466">
        <v>12</v>
      </c>
      <c r="E72" s="467">
        <f t="shared" si="63"/>
        <v>5364193.99999999</v>
      </c>
      <c r="F72" s="467"/>
      <c r="G72" s="468">
        <v>333135.52</v>
      </c>
      <c r="H72" s="470"/>
      <c r="I72" s="467">
        <f t="shared" si="64"/>
        <v>5031058.47999999</v>
      </c>
      <c r="J72" s="467">
        <v>200000</v>
      </c>
      <c r="K72" s="467">
        <v>0.2</v>
      </c>
      <c r="L72" s="467">
        <f t="shared" si="65"/>
        <v>1006211.696</v>
      </c>
      <c r="M72" s="467">
        <f t="shared" si="66"/>
        <v>1206211.696</v>
      </c>
      <c r="N72" s="467">
        <f t="shared" si="67"/>
        <v>1539347.216</v>
      </c>
      <c r="O72" s="467">
        <f t="shared" si="68"/>
        <v>3824846.78399999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>0.24*(O72-3200000)</f>
        <v>149963.228159998</v>
      </c>
      <c r="V72" s="467">
        <f t="shared" si="75"/>
        <v>709963.228159998</v>
      </c>
      <c r="W72" s="474">
        <v>12</v>
      </c>
      <c r="X72" s="467">
        <f t="shared" si="76"/>
        <v>59163.6023466665</v>
      </c>
      <c r="Y72" s="470"/>
      <c r="Z72" s="929">
        <f t="shared" si="77"/>
        <v>59163.6023466665</v>
      </c>
      <c r="AA72" s="806">
        <v>44641.5005866667</v>
      </c>
      <c r="AB72" s="806">
        <f t="shared" si="78"/>
        <v>14522.1017599998</v>
      </c>
      <c r="AC72" s="479"/>
      <c r="AD72" s="479"/>
      <c r="AE72" s="479"/>
    </row>
    <row r="73" ht="24.75" customHeight="1" spans="1:31">
      <c r="A73" s="464"/>
      <c r="B73" s="643" t="s">
        <v>200</v>
      </c>
      <c r="C73" s="467">
        <v>401910.75</v>
      </c>
      <c r="D73" s="466">
        <v>12</v>
      </c>
      <c r="E73" s="467">
        <f t="shared" si="63"/>
        <v>4822929</v>
      </c>
      <c r="F73" s="467"/>
      <c r="G73" s="468">
        <v>289834.32</v>
      </c>
      <c r="H73" s="470"/>
      <c r="I73" s="467">
        <f t="shared" si="64"/>
        <v>4533094.68</v>
      </c>
      <c r="J73" s="467">
        <v>200000</v>
      </c>
      <c r="K73" s="467">
        <v>0.2</v>
      </c>
      <c r="L73" s="467">
        <f t="shared" si="65"/>
        <v>906618.936</v>
      </c>
      <c r="M73" s="467">
        <f t="shared" si="66"/>
        <v>1106618.936</v>
      </c>
      <c r="N73" s="467">
        <f t="shared" si="67"/>
        <v>1396453.256</v>
      </c>
      <c r="O73" s="467">
        <f t="shared" si="68"/>
        <v>3426475.744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>0.24*(O73-3200000)</f>
        <v>54354.17856</v>
      </c>
      <c r="V73" s="467">
        <f t="shared" si="75"/>
        <v>614354.17856</v>
      </c>
      <c r="W73" s="474">
        <v>12</v>
      </c>
      <c r="X73" s="467">
        <f t="shared" si="76"/>
        <v>51196.1815466667</v>
      </c>
      <c r="Y73" s="470"/>
      <c r="Z73" s="929">
        <f t="shared" si="77"/>
        <v>51196.1815466667</v>
      </c>
      <c r="AA73" s="806">
        <v>38659.1656266667</v>
      </c>
      <c r="AB73" s="806">
        <f t="shared" si="78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202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203</v>
      </c>
      <c r="C76" s="467">
        <v>1847612</v>
      </c>
      <c r="D76" s="466">
        <v>12</v>
      </c>
      <c r="E76" s="467">
        <f t="shared" ref="E76:E85" si="79">C76*D76</f>
        <v>22171344</v>
      </c>
      <c r="F76" s="467">
        <v>307730.499999999</v>
      </c>
      <c r="G76" s="468">
        <v>1581707.52</v>
      </c>
      <c r="H76" s="470"/>
      <c r="I76" s="467">
        <f t="shared" ref="I76:I85" si="80">E76-F76-G76-H76</f>
        <v>20281905.98</v>
      </c>
      <c r="J76" s="467">
        <v>200000</v>
      </c>
      <c r="K76" s="467">
        <v>0.2</v>
      </c>
      <c r="L76" s="467">
        <f t="shared" ref="L76:L85" si="81">I76*K76</f>
        <v>4056381.196</v>
      </c>
      <c r="M76" s="467">
        <f t="shared" ref="M76:M85" si="82">J76+L76</f>
        <v>4256381.196</v>
      </c>
      <c r="N76" s="467">
        <f t="shared" ref="N76:N85" si="83">F76+G76+H76+M76</f>
        <v>6145819.216</v>
      </c>
      <c r="O76" s="467">
        <f t="shared" ref="O76:O85" si="84">E76-N76</f>
        <v>16025524.784</v>
      </c>
      <c r="P76" s="467">
        <f t="shared" ref="P76:P85" si="85">IF(O76&lt;300000,0.07*O76,21000)</f>
        <v>21000</v>
      </c>
      <c r="Q76" s="467">
        <f t="shared" ref="Q76:Q85" si="86">IF((O76-300000)&lt;0,0,IF((O76-300000)&lt;300000,0.11*(O76-300000),33000))</f>
        <v>33000</v>
      </c>
      <c r="R76" s="467">
        <f t="shared" ref="R76:R85" si="87">IF((O76-600000)&lt;0,0,IF((O76-600000)&lt;500000,0.15*(O76-600000),75000))</f>
        <v>75000</v>
      </c>
      <c r="S76" s="467">
        <f t="shared" ref="S76:S85" si="88">IF((O76-1100000)&lt;0,0,IF((O76-1100000)&lt;500000,0.19*(O76-1100000),95000))</f>
        <v>95000</v>
      </c>
      <c r="T76" s="467">
        <f t="shared" ref="T76:T85" si="89">IF((O76-1600000)&lt;0,0,IF((O76-1600000)&lt;1600000,0.21*(O76-1600000),336000))</f>
        <v>336000</v>
      </c>
      <c r="U76" s="467">
        <f t="shared" ref="U76:U85" si="90">24%*(O76-3200000)</f>
        <v>3078125.94816</v>
      </c>
      <c r="V76" s="467">
        <f t="shared" ref="V76:V85" si="91">P76+Q76+R76+S76+T76+U76</f>
        <v>3638125.94816</v>
      </c>
      <c r="W76" s="474">
        <v>12</v>
      </c>
      <c r="X76" s="467">
        <f t="shared" ref="X76:X85" si="92">V76/W76</f>
        <v>303177.162346667</v>
      </c>
      <c r="Y76" s="470"/>
      <c r="Z76" s="929">
        <f t="shared" ref="Z76:Z85" si="93">X76</f>
        <v>303177.162346667</v>
      </c>
      <c r="AA76" s="467">
        <v>251101.24</v>
      </c>
      <c r="AB76" s="806">
        <f t="shared" si="78"/>
        <v>52075.9223466666</v>
      </c>
      <c r="AC76" s="479"/>
      <c r="AD76" s="479"/>
      <c r="AE76" s="479"/>
    </row>
    <row r="77" ht="15.5" spans="1:31">
      <c r="A77" s="464">
        <v>69</v>
      </c>
      <c r="B77" s="643" t="s">
        <v>205</v>
      </c>
      <c r="C77" s="467">
        <v>1232711.08333333</v>
      </c>
      <c r="D77" s="466">
        <v>12</v>
      </c>
      <c r="E77" s="467">
        <f t="shared" si="79"/>
        <v>14792533</v>
      </c>
      <c r="F77" s="467"/>
      <c r="G77" s="468">
        <v>818602.639999999</v>
      </c>
      <c r="H77" s="470"/>
      <c r="I77" s="467">
        <f t="shared" si="80"/>
        <v>13973930.36</v>
      </c>
      <c r="J77" s="467">
        <v>200000</v>
      </c>
      <c r="K77" s="467">
        <v>0.2</v>
      </c>
      <c r="L77" s="467">
        <f t="shared" si="81"/>
        <v>2794786.07199999</v>
      </c>
      <c r="M77" s="467">
        <f t="shared" si="82"/>
        <v>2994786.07199999</v>
      </c>
      <c r="N77" s="467">
        <f t="shared" si="83"/>
        <v>3813388.71199999</v>
      </c>
      <c r="O77" s="467">
        <f t="shared" si="84"/>
        <v>10979144.288</v>
      </c>
      <c r="P77" s="467">
        <f t="shared" si="85"/>
        <v>21000</v>
      </c>
      <c r="Q77" s="467">
        <f t="shared" si="86"/>
        <v>33000</v>
      </c>
      <c r="R77" s="467">
        <f t="shared" si="87"/>
        <v>75000</v>
      </c>
      <c r="S77" s="467">
        <f t="shared" si="88"/>
        <v>95000</v>
      </c>
      <c r="T77" s="467">
        <f t="shared" si="89"/>
        <v>336000</v>
      </c>
      <c r="U77" s="467">
        <f t="shared" si="90"/>
        <v>1866994.62911999</v>
      </c>
      <c r="V77" s="467">
        <f t="shared" si="91"/>
        <v>2426994.62911999</v>
      </c>
      <c r="W77" s="474">
        <v>12</v>
      </c>
      <c r="X77" s="467">
        <f t="shared" si="92"/>
        <v>202249.552426666</v>
      </c>
      <c r="Y77" s="470"/>
      <c r="Z77" s="929">
        <f t="shared" si="93"/>
        <v>202249.552426666</v>
      </c>
      <c r="AA77" s="467">
        <v>177751.03</v>
      </c>
      <c r="AB77" s="806">
        <f t="shared" si="78"/>
        <v>24498.522426666</v>
      </c>
      <c r="AC77" s="479"/>
      <c r="AD77" s="479"/>
      <c r="AE77" s="479"/>
    </row>
    <row r="78" ht="31" spans="1:31">
      <c r="A78" s="464">
        <v>70</v>
      </c>
      <c r="B78" s="643" t="s">
        <v>208</v>
      </c>
      <c r="C78" s="467">
        <v>882595.5</v>
      </c>
      <c r="D78" s="466">
        <v>12</v>
      </c>
      <c r="E78" s="467">
        <f t="shared" si="79"/>
        <v>10591146</v>
      </c>
      <c r="F78" s="467"/>
      <c r="G78" s="468">
        <v>693691.68</v>
      </c>
      <c r="H78" s="470"/>
      <c r="I78" s="467">
        <f t="shared" si="80"/>
        <v>9897454.32</v>
      </c>
      <c r="J78" s="467">
        <v>200000</v>
      </c>
      <c r="K78" s="467">
        <v>0.2</v>
      </c>
      <c r="L78" s="467">
        <f t="shared" si="81"/>
        <v>1979490.864</v>
      </c>
      <c r="M78" s="467">
        <f t="shared" si="82"/>
        <v>2179490.864</v>
      </c>
      <c r="N78" s="467">
        <f t="shared" si="83"/>
        <v>2873182.544</v>
      </c>
      <c r="O78" s="467">
        <f t="shared" si="84"/>
        <v>7717963.456</v>
      </c>
      <c r="P78" s="467">
        <f t="shared" si="85"/>
        <v>21000</v>
      </c>
      <c r="Q78" s="467">
        <f t="shared" si="86"/>
        <v>33000</v>
      </c>
      <c r="R78" s="467">
        <f t="shared" si="87"/>
        <v>75000</v>
      </c>
      <c r="S78" s="467">
        <f t="shared" si="88"/>
        <v>95000</v>
      </c>
      <c r="T78" s="467">
        <f t="shared" si="89"/>
        <v>336000</v>
      </c>
      <c r="U78" s="467">
        <f t="shared" si="90"/>
        <v>1084311.22944</v>
      </c>
      <c r="V78" s="467">
        <f t="shared" si="91"/>
        <v>1644311.22944</v>
      </c>
      <c r="W78" s="474">
        <v>12</v>
      </c>
      <c r="X78" s="467">
        <f t="shared" si="92"/>
        <v>137025.935786667</v>
      </c>
      <c r="Y78" s="470"/>
      <c r="Z78" s="929">
        <f t="shared" si="93"/>
        <v>137025.935786667</v>
      </c>
      <c r="AA78" s="467">
        <v>112212.004906667</v>
      </c>
      <c r="AB78" s="806">
        <f t="shared" si="78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209</v>
      </c>
      <c r="C79" s="467">
        <v>698165.25</v>
      </c>
      <c r="D79" s="466">
        <v>12</v>
      </c>
      <c r="E79" s="467">
        <f t="shared" si="79"/>
        <v>8377983</v>
      </c>
      <c r="F79" s="467"/>
      <c r="G79" s="468">
        <v>535838.64</v>
      </c>
      <c r="H79" s="470"/>
      <c r="I79" s="467">
        <f t="shared" si="80"/>
        <v>7842144.36</v>
      </c>
      <c r="J79" s="467">
        <v>200000</v>
      </c>
      <c r="K79" s="467">
        <v>0.2</v>
      </c>
      <c r="L79" s="467">
        <f t="shared" si="81"/>
        <v>1568428.872</v>
      </c>
      <c r="M79" s="467">
        <f t="shared" si="82"/>
        <v>1768428.872</v>
      </c>
      <c r="N79" s="467">
        <f t="shared" si="83"/>
        <v>2304267.512</v>
      </c>
      <c r="O79" s="467">
        <f t="shared" si="84"/>
        <v>6073715.488</v>
      </c>
      <c r="P79" s="467">
        <f t="shared" si="85"/>
        <v>21000</v>
      </c>
      <c r="Q79" s="467">
        <f t="shared" si="86"/>
        <v>33000</v>
      </c>
      <c r="R79" s="467">
        <f t="shared" si="87"/>
        <v>75000</v>
      </c>
      <c r="S79" s="467">
        <f t="shared" si="88"/>
        <v>95000</v>
      </c>
      <c r="T79" s="467">
        <f t="shared" si="89"/>
        <v>336000</v>
      </c>
      <c r="U79" s="467">
        <f t="shared" si="90"/>
        <v>689691.717119999</v>
      </c>
      <c r="V79" s="467">
        <f t="shared" si="91"/>
        <v>1249691.71712</v>
      </c>
      <c r="W79" s="474">
        <v>12</v>
      </c>
      <c r="X79" s="467">
        <f t="shared" si="92"/>
        <v>104140.976426667</v>
      </c>
      <c r="Y79" s="470"/>
      <c r="Z79" s="929">
        <f t="shared" si="93"/>
        <v>104140.976426667</v>
      </c>
      <c r="AA79" s="467">
        <v>83767.87</v>
      </c>
      <c r="AB79" s="806">
        <f t="shared" si="78"/>
        <v>20373.1064266666</v>
      </c>
      <c r="AC79" s="479"/>
      <c r="AD79" s="479"/>
      <c r="AE79" s="479"/>
    </row>
    <row r="80" ht="15.5" spans="1:31">
      <c r="A80" s="464">
        <v>72</v>
      </c>
      <c r="B80" s="643" t="s">
        <v>210</v>
      </c>
      <c r="C80" s="467">
        <v>698166.25</v>
      </c>
      <c r="D80" s="466">
        <v>12</v>
      </c>
      <c r="E80" s="467">
        <f t="shared" si="79"/>
        <v>8377995</v>
      </c>
      <c r="F80" s="467">
        <v>104315.075</v>
      </c>
      <c r="G80" s="468">
        <v>535839.6</v>
      </c>
      <c r="H80" s="470"/>
      <c r="I80" s="467">
        <f t="shared" si="80"/>
        <v>7737840.325</v>
      </c>
      <c r="J80" s="467">
        <v>200000</v>
      </c>
      <c r="K80" s="467">
        <v>0.2</v>
      </c>
      <c r="L80" s="467">
        <f t="shared" si="81"/>
        <v>1547568.065</v>
      </c>
      <c r="M80" s="467">
        <f t="shared" si="82"/>
        <v>1747568.065</v>
      </c>
      <c r="N80" s="467">
        <f t="shared" si="83"/>
        <v>2387722.74</v>
      </c>
      <c r="O80" s="467">
        <f t="shared" si="84"/>
        <v>5990272.26</v>
      </c>
      <c r="P80" s="467">
        <f t="shared" si="85"/>
        <v>21000</v>
      </c>
      <c r="Q80" s="467">
        <f t="shared" si="86"/>
        <v>33000</v>
      </c>
      <c r="R80" s="467">
        <f t="shared" si="87"/>
        <v>75000</v>
      </c>
      <c r="S80" s="467">
        <f t="shared" si="88"/>
        <v>95000</v>
      </c>
      <c r="T80" s="467">
        <f t="shared" si="89"/>
        <v>336000</v>
      </c>
      <c r="U80" s="467">
        <f t="shared" si="90"/>
        <v>669665.342399999</v>
      </c>
      <c r="V80" s="467">
        <f t="shared" si="91"/>
        <v>1229665.3424</v>
      </c>
      <c r="W80" s="474">
        <v>12</v>
      </c>
      <c r="X80" s="467">
        <f t="shared" si="92"/>
        <v>102472.111866667</v>
      </c>
      <c r="Y80" s="470"/>
      <c r="Z80" s="929">
        <f t="shared" si="93"/>
        <v>102472.111866667</v>
      </c>
      <c r="AA80" s="467">
        <v>83753.4084266666</v>
      </c>
      <c r="AB80" s="806">
        <f t="shared" si="78"/>
        <v>18718.70344</v>
      </c>
      <c r="AC80" s="479"/>
      <c r="AD80" s="479"/>
      <c r="AE80" s="479"/>
    </row>
    <row r="81" ht="31" spans="1:31">
      <c r="A81" s="464">
        <v>73</v>
      </c>
      <c r="B81" s="643" t="s">
        <v>211</v>
      </c>
      <c r="C81" s="467">
        <v>682419.5</v>
      </c>
      <c r="D81" s="466">
        <v>12</v>
      </c>
      <c r="E81" s="467">
        <f t="shared" si="79"/>
        <v>8189034</v>
      </c>
      <c r="F81" s="467"/>
      <c r="G81" s="468">
        <v>520722.72</v>
      </c>
      <c r="H81" s="470"/>
      <c r="I81" s="467">
        <f t="shared" si="80"/>
        <v>7668311.28</v>
      </c>
      <c r="J81" s="467">
        <v>200000</v>
      </c>
      <c r="K81" s="467">
        <v>0.2</v>
      </c>
      <c r="L81" s="467">
        <f t="shared" si="81"/>
        <v>1533662.256</v>
      </c>
      <c r="M81" s="467">
        <f t="shared" si="82"/>
        <v>1733662.256</v>
      </c>
      <c r="N81" s="467">
        <f t="shared" si="83"/>
        <v>2254384.976</v>
      </c>
      <c r="O81" s="467">
        <f t="shared" si="84"/>
        <v>5934649.024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656315.76576</v>
      </c>
      <c r="V81" s="467">
        <f t="shared" si="91"/>
        <v>1216315.76576</v>
      </c>
      <c r="W81" s="474">
        <v>12</v>
      </c>
      <c r="X81" s="467">
        <f t="shared" si="92"/>
        <v>101359.647146667</v>
      </c>
      <c r="Y81" s="470"/>
      <c r="Z81" s="929">
        <f t="shared" si="93"/>
        <v>101359.647146667</v>
      </c>
      <c r="AA81" s="467">
        <v>81302.3959466667</v>
      </c>
      <c r="AB81" s="806">
        <f t="shared" si="78"/>
        <v>20057.2512</v>
      </c>
      <c r="AC81" s="479"/>
      <c r="AD81" s="479"/>
      <c r="AE81" s="479"/>
    </row>
    <row r="82" ht="15.5" spans="1:31">
      <c r="A82" s="464">
        <v>74</v>
      </c>
      <c r="B82" s="643" t="s">
        <v>213</v>
      </c>
      <c r="C82" s="467">
        <v>578828.166666667</v>
      </c>
      <c r="D82" s="466">
        <v>12</v>
      </c>
      <c r="E82" s="467">
        <f t="shared" si="79"/>
        <v>6945938</v>
      </c>
      <c r="F82" s="467"/>
      <c r="G82" s="473">
        <v>450075.040000001</v>
      </c>
      <c r="H82" s="470"/>
      <c r="I82" s="467">
        <f t="shared" si="80"/>
        <v>6495862.96</v>
      </c>
      <c r="J82" s="467">
        <v>200000</v>
      </c>
      <c r="K82" s="467">
        <v>0.2</v>
      </c>
      <c r="L82" s="467">
        <f t="shared" si="81"/>
        <v>1299172.592</v>
      </c>
      <c r="M82" s="467">
        <f t="shared" si="82"/>
        <v>1499172.592</v>
      </c>
      <c r="N82" s="467">
        <f t="shared" si="83"/>
        <v>1949247.632</v>
      </c>
      <c r="O82" s="467">
        <f t="shared" si="84"/>
        <v>4996690.368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431205.688320001</v>
      </c>
      <c r="V82" s="467">
        <f t="shared" si="91"/>
        <v>991205.688320001</v>
      </c>
      <c r="W82" s="474">
        <v>12</v>
      </c>
      <c r="X82" s="467">
        <f t="shared" si="92"/>
        <v>82600.4740266667</v>
      </c>
      <c r="Y82" s="470"/>
      <c r="Z82" s="929">
        <f t="shared" si="93"/>
        <v>82600.4740266667</v>
      </c>
      <c r="AA82" s="467">
        <v>64384.5917866667</v>
      </c>
      <c r="AB82" s="806">
        <f t="shared" si="78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214</v>
      </c>
      <c r="C83" s="467">
        <v>617472.75</v>
      </c>
      <c r="D83" s="466">
        <v>12</v>
      </c>
      <c r="E83" s="467">
        <f t="shared" si="79"/>
        <v>7409673</v>
      </c>
      <c r="F83" s="467">
        <v>93501.975</v>
      </c>
      <c r="G83" s="468">
        <v>477573.84</v>
      </c>
      <c r="H83" s="470"/>
      <c r="I83" s="467">
        <f t="shared" si="80"/>
        <v>6838597.185</v>
      </c>
      <c r="J83" s="467">
        <v>200000</v>
      </c>
      <c r="K83" s="467">
        <v>0.2</v>
      </c>
      <c r="L83" s="467">
        <f t="shared" si="81"/>
        <v>1367719.437</v>
      </c>
      <c r="M83" s="467">
        <f t="shared" si="82"/>
        <v>1567719.437</v>
      </c>
      <c r="N83" s="467">
        <f t="shared" si="83"/>
        <v>2138795.252</v>
      </c>
      <c r="O83" s="467">
        <f t="shared" si="84"/>
        <v>5270877.748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497010.65952</v>
      </c>
      <c r="V83" s="467">
        <f t="shared" si="91"/>
        <v>1057010.65952</v>
      </c>
      <c r="W83" s="474">
        <v>12</v>
      </c>
      <c r="X83" s="467">
        <f t="shared" si="92"/>
        <v>88084.2216266667</v>
      </c>
      <c r="Y83" s="470"/>
      <c r="Z83" s="929">
        <f t="shared" si="93"/>
        <v>88084.2216266667</v>
      </c>
      <c r="AA83" s="467">
        <v>70529.4753546667</v>
      </c>
      <c r="AB83" s="806">
        <f t="shared" si="78"/>
        <v>17554.746272</v>
      </c>
      <c r="AC83" s="479"/>
      <c r="AD83" s="479"/>
      <c r="AE83" s="479"/>
    </row>
    <row r="84" ht="15.5" spans="1:31">
      <c r="A84" s="464">
        <v>76</v>
      </c>
      <c r="B84" s="643" t="s">
        <v>217</v>
      </c>
      <c r="C84" s="467">
        <v>490135.833333334</v>
      </c>
      <c r="D84" s="466">
        <v>12</v>
      </c>
      <c r="E84" s="467">
        <f t="shared" si="79"/>
        <v>5881630.00000001</v>
      </c>
      <c r="F84" s="467"/>
      <c r="G84" s="468">
        <v>374530.4</v>
      </c>
      <c r="H84" s="470"/>
      <c r="I84" s="467">
        <f t="shared" si="80"/>
        <v>5507099.60000001</v>
      </c>
      <c r="J84" s="467">
        <v>200000</v>
      </c>
      <c r="K84" s="467">
        <v>0.2</v>
      </c>
      <c r="L84" s="467">
        <f t="shared" si="81"/>
        <v>1101419.92</v>
      </c>
      <c r="M84" s="467">
        <f t="shared" si="82"/>
        <v>1301419.92</v>
      </c>
      <c r="N84" s="467">
        <f t="shared" si="83"/>
        <v>1675950.32</v>
      </c>
      <c r="O84" s="467">
        <f t="shared" si="84"/>
        <v>4205679.68000001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241363.123200002</v>
      </c>
      <c r="V84" s="467">
        <f t="shared" si="91"/>
        <v>801363.123200002</v>
      </c>
      <c r="W84" s="474">
        <v>12</v>
      </c>
      <c r="X84" s="467">
        <f t="shared" si="92"/>
        <v>66780.2602666668</v>
      </c>
      <c r="Y84" s="470"/>
      <c r="Z84" s="929">
        <f t="shared" si="93"/>
        <v>66780.2602666668</v>
      </c>
      <c r="AA84" s="467">
        <v>51029.2273066667</v>
      </c>
      <c r="AB84" s="806">
        <f t="shared" si="78"/>
        <v>15751.0329600001</v>
      </c>
      <c r="AC84" s="479"/>
      <c r="AD84" s="479"/>
      <c r="AE84" s="479"/>
    </row>
    <row r="85" ht="15.5" spans="1:31">
      <c r="A85" s="464"/>
      <c r="B85" s="643" t="s">
        <v>221</v>
      </c>
      <c r="C85" s="467">
        <v>408920.666666667</v>
      </c>
      <c r="D85" s="466">
        <v>12</v>
      </c>
      <c r="E85" s="467">
        <f t="shared" si="79"/>
        <v>4907048</v>
      </c>
      <c r="F85" s="467"/>
      <c r="G85" s="468">
        <v>296563.840000001</v>
      </c>
      <c r="H85" s="470"/>
      <c r="I85" s="467">
        <f t="shared" si="80"/>
        <v>4610484.16</v>
      </c>
      <c r="J85" s="467">
        <v>200000</v>
      </c>
      <c r="K85" s="467">
        <v>0.2</v>
      </c>
      <c r="L85" s="467">
        <f t="shared" si="81"/>
        <v>922096.832000001</v>
      </c>
      <c r="M85" s="467">
        <f t="shared" si="82"/>
        <v>1122096.832</v>
      </c>
      <c r="N85" s="467">
        <f t="shared" si="83"/>
        <v>1418660.672</v>
      </c>
      <c r="O85" s="467">
        <f t="shared" si="84"/>
        <v>3488387.328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69212.9587200005</v>
      </c>
      <c r="V85" s="467">
        <f t="shared" si="91"/>
        <v>629212.95872</v>
      </c>
      <c r="W85" s="474">
        <v>12</v>
      </c>
      <c r="X85" s="467">
        <f t="shared" si="92"/>
        <v>52434.4132266667</v>
      </c>
      <c r="Y85" s="470"/>
      <c r="Z85" s="929">
        <f t="shared" si="93"/>
        <v>52434.4132266667</v>
      </c>
      <c r="AA85" s="467">
        <v>39613.1357066667</v>
      </c>
      <c r="AB85" s="806">
        <f t="shared" si="78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224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225</v>
      </c>
      <c r="C89" s="467">
        <v>1797359.33333333</v>
      </c>
      <c r="D89" s="466">
        <v>12</v>
      </c>
      <c r="E89" s="467">
        <f t="shared" ref="E89:E93" si="94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5">E89-F89-G89-H89</f>
        <v>19621965.19</v>
      </c>
      <c r="J89" s="467">
        <v>200000</v>
      </c>
      <c r="K89" s="467">
        <v>0.2</v>
      </c>
      <c r="L89" s="467">
        <f t="shared" ref="L89:L93" si="96">I89*K89</f>
        <v>3924393.03799999</v>
      </c>
      <c r="M89" s="467">
        <f t="shared" ref="M89:M93" si="97">J89+L89</f>
        <v>4124393.03799999</v>
      </c>
      <c r="N89" s="467">
        <f t="shared" ref="N89:N93" si="98">F89+G89+H89+M89</f>
        <v>6070739.84799998</v>
      </c>
      <c r="O89" s="467">
        <f t="shared" ref="O89:O93" si="99">E89-N89</f>
        <v>15497572.152</v>
      </c>
      <c r="P89" s="467">
        <f t="shared" ref="P89:P93" si="100">IF(O89&lt;300000,0.07*O89,21000)</f>
        <v>21000</v>
      </c>
      <c r="Q89" s="467">
        <f t="shared" ref="Q89:Q93" si="101">IF((O89-300000)&lt;0,0,IF((O89-300000)&lt;300000,0.11*(O89-300000),33000))</f>
        <v>33000</v>
      </c>
      <c r="R89" s="467">
        <f t="shared" ref="R89:R93" si="102">IF((O89-600000)&lt;0,0,IF((O89-600000)&lt;500000,0.15*(O89-600000),75000))</f>
        <v>75000</v>
      </c>
      <c r="S89" s="467">
        <f t="shared" ref="S89:S93" si="103">IF((O89-1100000)&lt;0,0,IF((O89-1100000)&lt;500000,0.19*(O89-1100000),95000))</f>
        <v>95000</v>
      </c>
      <c r="T89" s="467">
        <f t="shared" ref="T89:T93" si="104">IF((O89-1600000)&lt;0,0,IF((O89-1600000)&lt;1600000,0.21*(O89-1600000),336000))</f>
        <v>336000</v>
      </c>
      <c r="U89" s="467">
        <f t="shared" ref="U89:U93" si="105">24%*(O89-3200000)</f>
        <v>2951417.31647999</v>
      </c>
      <c r="V89" s="467">
        <f t="shared" ref="V89:V93" si="106">P89+Q89+R89+S89+T89+U89</f>
        <v>3511417.31647999</v>
      </c>
      <c r="W89" s="474">
        <v>12</v>
      </c>
      <c r="X89" s="467">
        <f t="shared" ref="X89:X93" si="107">V89/W89</f>
        <v>292618.109706666</v>
      </c>
      <c r="Y89" s="470"/>
      <c r="Z89" s="929">
        <f t="shared" ref="Z89:Z93" si="108">X89</f>
        <v>292618.109706666</v>
      </c>
      <c r="AA89" s="806">
        <v>236486.748679467</v>
      </c>
      <c r="AB89" s="806">
        <f t="shared" si="78"/>
        <v>56131.3610271992</v>
      </c>
      <c r="AC89" s="479"/>
      <c r="AD89" s="479"/>
      <c r="AE89" s="479"/>
    </row>
    <row r="90" ht="18" spans="1:31">
      <c r="A90" s="464">
        <v>80</v>
      </c>
      <c r="B90" s="643" t="s">
        <v>227</v>
      </c>
      <c r="C90" s="937">
        <v>870286.75</v>
      </c>
      <c r="D90" s="466">
        <v>12</v>
      </c>
      <c r="E90" s="467">
        <f t="shared" si="94"/>
        <v>10443441</v>
      </c>
      <c r="F90" s="467"/>
      <c r="G90" s="468">
        <v>550954.64</v>
      </c>
      <c r="H90" s="470"/>
      <c r="I90" s="467">
        <f t="shared" si="95"/>
        <v>9892486.36</v>
      </c>
      <c r="J90" s="467">
        <v>200000</v>
      </c>
      <c r="K90" s="467">
        <v>0.2</v>
      </c>
      <c r="L90" s="467">
        <f t="shared" si="96"/>
        <v>1978497.272</v>
      </c>
      <c r="M90" s="467">
        <f t="shared" si="97"/>
        <v>2178497.272</v>
      </c>
      <c r="N90" s="467">
        <f t="shared" si="98"/>
        <v>2729451.912</v>
      </c>
      <c r="O90" s="467">
        <f t="shared" si="99"/>
        <v>7713989.088</v>
      </c>
      <c r="P90" s="467">
        <f t="shared" si="100"/>
        <v>21000</v>
      </c>
      <c r="Q90" s="467">
        <f t="shared" si="101"/>
        <v>33000</v>
      </c>
      <c r="R90" s="467">
        <f t="shared" si="102"/>
        <v>75000</v>
      </c>
      <c r="S90" s="467">
        <f t="shared" si="103"/>
        <v>95000</v>
      </c>
      <c r="T90" s="467">
        <f t="shared" si="104"/>
        <v>336000</v>
      </c>
      <c r="U90" s="467">
        <f t="shared" si="105"/>
        <v>1083357.38112</v>
      </c>
      <c r="V90" s="467">
        <f t="shared" si="106"/>
        <v>1643357.38112</v>
      </c>
      <c r="W90" s="474">
        <v>12</v>
      </c>
      <c r="X90" s="467">
        <f t="shared" si="107"/>
        <v>136946.448426667</v>
      </c>
      <c r="Y90" s="470"/>
      <c r="Z90" s="929">
        <f t="shared" si="108"/>
        <v>136946.448426667</v>
      </c>
      <c r="AA90" s="806">
        <v>72764.4209066667</v>
      </c>
      <c r="AB90" s="806">
        <f t="shared" si="78"/>
        <v>64182.0275199999</v>
      </c>
      <c r="AC90" s="479"/>
      <c r="AD90" s="479"/>
      <c r="AE90" s="479"/>
    </row>
    <row r="91" ht="15.5" spans="1:31">
      <c r="A91" s="464">
        <v>81</v>
      </c>
      <c r="B91" s="643" t="s">
        <v>229</v>
      </c>
      <c r="C91" s="467">
        <v>567472.75</v>
      </c>
      <c r="D91" s="466">
        <v>12</v>
      </c>
      <c r="E91" s="467">
        <f t="shared" si="94"/>
        <v>6809673</v>
      </c>
      <c r="F91" s="467">
        <v>93501.975</v>
      </c>
      <c r="G91" s="468">
        <v>477573.84</v>
      </c>
      <c r="H91" s="470"/>
      <c r="I91" s="467">
        <f t="shared" si="95"/>
        <v>6238597.185</v>
      </c>
      <c r="J91" s="467">
        <v>200000</v>
      </c>
      <c r="K91" s="467">
        <v>0.2</v>
      </c>
      <c r="L91" s="467">
        <f t="shared" si="96"/>
        <v>1247719.437</v>
      </c>
      <c r="M91" s="467">
        <f t="shared" si="97"/>
        <v>1447719.437</v>
      </c>
      <c r="N91" s="467">
        <f t="shared" si="98"/>
        <v>2018795.252</v>
      </c>
      <c r="O91" s="467">
        <f t="shared" si="99"/>
        <v>4790877.748</v>
      </c>
      <c r="P91" s="467">
        <f t="shared" si="100"/>
        <v>21000</v>
      </c>
      <c r="Q91" s="467">
        <f t="shared" si="101"/>
        <v>33000</v>
      </c>
      <c r="R91" s="467">
        <f t="shared" si="102"/>
        <v>75000</v>
      </c>
      <c r="S91" s="467">
        <f t="shared" si="103"/>
        <v>95000</v>
      </c>
      <c r="T91" s="467">
        <f t="shared" si="104"/>
        <v>336000</v>
      </c>
      <c r="U91" s="467">
        <f t="shared" si="105"/>
        <v>381810.65952</v>
      </c>
      <c r="V91" s="467">
        <f t="shared" si="106"/>
        <v>941810.65952</v>
      </c>
      <c r="W91" s="474">
        <v>12</v>
      </c>
      <c r="X91" s="467">
        <f t="shared" si="107"/>
        <v>78484.2216266667</v>
      </c>
      <c r="Y91" s="470"/>
      <c r="Z91" s="929">
        <f t="shared" si="108"/>
        <v>78484.2216266667</v>
      </c>
      <c r="AA91" s="806">
        <v>59711.1152554667</v>
      </c>
      <c r="AB91" s="806">
        <f t="shared" si="78"/>
        <v>18773.1063712</v>
      </c>
      <c r="AC91" s="479"/>
      <c r="AD91" s="479"/>
      <c r="AE91" s="479"/>
    </row>
    <row r="92" ht="15.5" spans="1:31">
      <c r="A92" s="464"/>
      <c r="B92" s="643" t="s">
        <v>233</v>
      </c>
      <c r="C92" s="467">
        <v>542662.666666667</v>
      </c>
      <c r="D92" s="466">
        <v>12</v>
      </c>
      <c r="E92" s="467">
        <f t="shared" si="94"/>
        <v>6511952</v>
      </c>
      <c r="F92" s="467"/>
      <c r="G92" s="468">
        <v>463356.160000001</v>
      </c>
      <c r="H92" s="470"/>
      <c r="I92" s="467">
        <f t="shared" si="95"/>
        <v>6048595.84</v>
      </c>
      <c r="J92" s="467">
        <v>200000</v>
      </c>
      <c r="K92" s="467">
        <v>0.2</v>
      </c>
      <c r="L92" s="467">
        <f t="shared" si="96"/>
        <v>1209719.168</v>
      </c>
      <c r="M92" s="467">
        <f t="shared" si="97"/>
        <v>1409719.168</v>
      </c>
      <c r="N92" s="467">
        <f t="shared" si="98"/>
        <v>1873075.328</v>
      </c>
      <c r="O92" s="467">
        <f t="shared" si="99"/>
        <v>4638876.672</v>
      </c>
      <c r="P92" s="467">
        <f t="shared" si="100"/>
        <v>21000</v>
      </c>
      <c r="Q92" s="467">
        <f t="shared" si="101"/>
        <v>33000</v>
      </c>
      <c r="R92" s="467">
        <f t="shared" si="102"/>
        <v>75000</v>
      </c>
      <c r="S92" s="467">
        <f t="shared" si="103"/>
        <v>95000</v>
      </c>
      <c r="T92" s="467">
        <f t="shared" si="104"/>
        <v>336000</v>
      </c>
      <c r="U92" s="467">
        <f t="shared" si="105"/>
        <v>345330.401280001</v>
      </c>
      <c r="V92" s="467">
        <f t="shared" si="106"/>
        <v>905330.401280001</v>
      </c>
      <c r="W92" s="474">
        <v>12</v>
      </c>
      <c r="X92" s="467">
        <f t="shared" si="107"/>
        <v>75444.2001066667</v>
      </c>
      <c r="Y92" s="470"/>
      <c r="Z92" s="929">
        <f t="shared" si="108"/>
        <v>75444.2001066667</v>
      </c>
      <c r="AA92" s="806">
        <v>56938.0689066667</v>
      </c>
      <c r="AB92" s="806">
        <f t="shared" si="78"/>
        <v>18506.1312</v>
      </c>
      <c r="AC92" s="479"/>
      <c r="AD92" s="479"/>
      <c r="AE92" s="479"/>
    </row>
    <row r="93" ht="15.5" spans="1:31">
      <c r="A93" s="464"/>
      <c r="B93" s="643" t="s">
        <v>234</v>
      </c>
      <c r="C93" s="467">
        <v>450135.833333334</v>
      </c>
      <c r="D93" s="466">
        <v>12</v>
      </c>
      <c r="E93" s="467">
        <f t="shared" si="94"/>
        <v>5401630.00000001</v>
      </c>
      <c r="F93" s="467"/>
      <c r="G93" s="468">
        <v>374530.4</v>
      </c>
      <c r="H93" s="470"/>
      <c r="I93" s="467">
        <f t="shared" si="95"/>
        <v>5027099.60000001</v>
      </c>
      <c r="J93" s="467">
        <v>200000</v>
      </c>
      <c r="K93" s="467">
        <v>0.2</v>
      </c>
      <c r="L93" s="467">
        <f t="shared" si="96"/>
        <v>1005419.92</v>
      </c>
      <c r="M93" s="467">
        <f t="shared" si="97"/>
        <v>1205419.92</v>
      </c>
      <c r="N93" s="467">
        <f t="shared" si="98"/>
        <v>1579950.32</v>
      </c>
      <c r="O93" s="467">
        <f t="shared" si="99"/>
        <v>3821679.68000001</v>
      </c>
      <c r="P93" s="467">
        <f t="shared" si="100"/>
        <v>21000</v>
      </c>
      <c r="Q93" s="467">
        <f t="shared" si="101"/>
        <v>33000</v>
      </c>
      <c r="R93" s="467">
        <f t="shared" si="102"/>
        <v>75000</v>
      </c>
      <c r="S93" s="467">
        <f t="shared" si="103"/>
        <v>95000</v>
      </c>
      <c r="T93" s="467">
        <f t="shared" si="104"/>
        <v>336000</v>
      </c>
      <c r="U93" s="467">
        <f t="shared" si="105"/>
        <v>149203.123200002</v>
      </c>
      <c r="V93" s="467">
        <f t="shared" si="106"/>
        <v>709203.123200002</v>
      </c>
      <c r="W93" s="474">
        <v>12</v>
      </c>
      <c r="X93" s="467">
        <f t="shared" si="107"/>
        <v>59100.2602666668</v>
      </c>
      <c r="Y93" s="470"/>
      <c r="Z93" s="929">
        <f t="shared" si="108"/>
        <v>59100.2602666668</v>
      </c>
      <c r="AA93" s="806">
        <v>43763.9072266667</v>
      </c>
      <c r="AB93" s="806">
        <f t="shared" si="78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237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556</v>
      </c>
      <c r="C96" s="467">
        <v>1947106.41666666</v>
      </c>
      <c r="D96" s="466">
        <v>12</v>
      </c>
      <c r="E96" s="467">
        <f t="shared" ref="E96:E102" si="109">C96*D96</f>
        <v>23365276.9999999</v>
      </c>
      <c r="F96" s="467"/>
      <c r="G96" s="468">
        <v>1677222.16</v>
      </c>
      <c r="H96" s="470"/>
      <c r="I96" s="467">
        <f t="shared" ref="I96:I102" si="110">E96-F96-G96-H96</f>
        <v>21688054.8399999</v>
      </c>
      <c r="J96" s="467">
        <v>200000</v>
      </c>
      <c r="K96" s="467">
        <v>0.2</v>
      </c>
      <c r="L96" s="467">
        <f t="shared" ref="L96:L102" si="111">I96*K96</f>
        <v>4337610.96799998</v>
      </c>
      <c r="M96" s="467">
        <f t="shared" ref="M96:M102" si="112">J96+L96</f>
        <v>4537610.96799998</v>
      </c>
      <c r="N96" s="467">
        <f t="shared" ref="N96:N102" si="113">F96+G96+H96+M96</f>
        <v>6214833.12799998</v>
      </c>
      <c r="O96" s="467">
        <f t="shared" ref="O96:O102" si="114">E96-N96</f>
        <v>17150443.8719999</v>
      </c>
      <c r="P96" s="467">
        <f t="shared" ref="P96:P102" si="115">IF(O96&lt;300000,0.07*O96,21000)</f>
        <v>21000</v>
      </c>
      <c r="Q96" s="467">
        <f t="shared" ref="Q96:Q102" si="116">IF((O96-300000)&lt;0,0,IF((O96-300000)&lt;300000,0.11*(O96-300000),33000))</f>
        <v>33000</v>
      </c>
      <c r="R96" s="467">
        <f t="shared" ref="R96:R102" si="117">IF((O96-600000)&lt;0,0,IF((O96-600000)&lt;500000,0.15*(O96-600000),75000))</f>
        <v>75000</v>
      </c>
      <c r="S96" s="467">
        <f t="shared" ref="S96:S102" si="118">IF((O96-1100000)&lt;0,0,IF((O96-1100000)&lt;500000,0.19*(O96-1100000),95000))</f>
        <v>95000</v>
      </c>
      <c r="T96" s="467">
        <f t="shared" ref="T96:T102" si="119">IF((O96-1600000)&lt;0,0,IF((O96-1600000)&lt;1600000,0.21*(O96-1600000),336000))</f>
        <v>336000</v>
      </c>
      <c r="U96" s="467">
        <f t="shared" ref="U96:U98" si="120">24%*(O96-3200000)</f>
        <v>3348106.52927998</v>
      </c>
      <c r="V96" s="467">
        <f t="shared" ref="V96:V102" si="121">P96+Q96+R96+S96+T96+U96</f>
        <v>3908106.52927998</v>
      </c>
      <c r="W96" s="474">
        <v>12</v>
      </c>
      <c r="X96" s="467">
        <f t="shared" ref="X96:X102" si="122">V96/W96</f>
        <v>325675.544106665</v>
      </c>
      <c r="Y96" s="470"/>
      <c r="Z96" s="929">
        <f t="shared" ref="Z96:Z102" si="123">X96</f>
        <v>325675.544106665</v>
      </c>
      <c r="AA96" s="806">
        <v>270672.247466667</v>
      </c>
      <c r="AB96" s="806">
        <f t="shared" si="78"/>
        <v>55003.2966399984</v>
      </c>
      <c r="AC96" s="479"/>
      <c r="AD96" s="479"/>
      <c r="AE96" s="479"/>
    </row>
    <row r="97" ht="15.5" spans="1:31">
      <c r="A97" s="464">
        <v>86</v>
      </c>
      <c r="B97" s="643" t="s">
        <v>240</v>
      </c>
      <c r="C97" s="467">
        <v>1085306.75</v>
      </c>
      <c r="D97" s="466">
        <v>12</v>
      </c>
      <c r="E97" s="467">
        <f t="shared" si="109"/>
        <v>13023681</v>
      </c>
      <c r="F97" s="467">
        <v>166400.85</v>
      </c>
      <c r="G97" s="468">
        <v>869094.48</v>
      </c>
      <c r="H97" s="470"/>
      <c r="I97" s="467">
        <f t="shared" si="110"/>
        <v>11988185.67</v>
      </c>
      <c r="J97" s="467">
        <v>200000</v>
      </c>
      <c r="K97" s="467">
        <v>0.2</v>
      </c>
      <c r="L97" s="467">
        <f t="shared" si="111"/>
        <v>2397637.134</v>
      </c>
      <c r="M97" s="467">
        <f t="shared" si="112"/>
        <v>2597637.134</v>
      </c>
      <c r="N97" s="467">
        <f t="shared" si="113"/>
        <v>3633132.464</v>
      </c>
      <c r="O97" s="467">
        <f t="shared" si="114"/>
        <v>9390548.536</v>
      </c>
      <c r="P97" s="467">
        <f t="shared" si="115"/>
        <v>21000</v>
      </c>
      <c r="Q97" s="467">
        <f t="shared" si="116"/>
        <v>33000</v>
      </c>
      <c r="R97" s="467">
        <f t="shared" si="117"/>
        <v>75000</v>
      </c>
      <c r="S97" s="467">
        <f t="shared" si="118"/>
        <v>95000</v>
      </c>
      <c r="T97" s="467">
        <f t="shared" si="119"/>
        <v>336000</v>
      </c>
      <c r="U97" s="467">
        <f t="shared" si="120"/>
        <v>1485731.64864</v>
      </c>
      <c r="V97" s="467">
        <f t="shared" si="121"/>
        <v>2045731.64864</v>
      </c>
      <c r="W97" s="474">
        <v>12</v>
      </c>
      <c r="X97" s="467">
        <f t="shared" si="122"/>
        <v>170477.637386667</v>
      </c>
      <c r="Y97" s="470"/>
      <c r="Z97" s="929">
        <f t="shared" si="123"/>
        <v>170477.637386667</v>
      </c>
      <c r="AA97" s="806">
        <v>147687.527610667</v>
      </c>
      <c r="AB97" s="806">
        <f t="shared" si="78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242</v>
      </c>
      <c r="C98" s="467">
        <v>742085.645</v>
      </c>
      <c r="D98" s="466">
        <v>12</v>
      </c>
      <c r="E98" s="467">
        <f t="shared" si="109"/>
        <v>8905027.74</v>
      </c>
      <c r="F98" s="467">
        <v>101319.25</v>
      </c>
      <c r="G98" s="468">
        <v>519697.279999999</v>
      </c>
      <c r="H98" s="470"/>
      <c r="I98" s="467">
        <f t="shared" si="110"/>
        <v>8284011.21</v>
      </c>
      <c r="J98" s="467">
        <v>200000</v>
      </c>
      <c r="K98" s="467">
        <v>0.2</v>
      </c>
      <c r="L98" s="467">
        <f t="shared" si="111"/>
        <v>1656802.242</v>
      </c>
      <c r="M98" s="467">
        <f t="shared" si="112"/>
        <v>1856802.242</v>
      </c>
      <c r="N98" s="467">
        <f t="shared" si="113"/>
        <v>2477818.772</v>
      </c>
      <c r="O98" s="467">
        <f t="shared" si="114"/>
        <v>6427208.968</v>
      </c>
      <c r="P98" s="467">
        <f t="shared" si="115"/>
        <v>21000</v>
      </c>
      <c r="Q98" s="467">
        <f t="shared" si="116"/>
        <v>33000</v>
      </c>
      <c r="R98" s="467">
        <f t="shared" si="117"/>
        <v>75000</v>
      </c>
      <c r="S98" s="467">
        <f t="shared" si="118"/>
        <v>95000</v>
      </c>
      <c r="T98" s="467">
        <f t="shared" si="119"/>
        <v>336000</v>
      </c>
      <c r="U98" s="467">
        <f t="shared" si="120"/>
        <v>774530.15232</v>
      </c>
      <c r="V98" s="467">
        <f t="shared" si="121"/>
        <v>1334530.15232</v>
      </c>
      <c r="W98" s="474">
        <v>12</v>
      </c>
      <c r="X98" s="467">
        <f t="shared" si="122"/>
        <v>111210.846026667</v>
      </c>
      <c r="Y98" s="470"/>
      <c r="Z98" s="929">
        <f t="shared" si="123"/>
        <v>111210.846026667</v>
      </c>
      <c r="AA98" s="806">
        <v>87575.7827034667</v>
      </c>
      <c r="AB98" s="806">
        <f t="shared" si="78"/>
        <v>23635.0633232</v>
      </c>
      <c r="AC98" s="479"/>
      <c r="AD98" s="479"/>
      <c r="AE98" s="479"/>
    </row>
    <row r="99" ht="15.5" spans="1:31">
      <c r="A99" s="464">
        <v>88</v>
      </c>
      <c r="B99" s="643" t="s">
        <v>244</v>
      </c>
      <c r="C99" s="467">
        <v>742085.645</v>
      </c>
      <c r="D99" s="466">
        <v>12</v>
      </c>
      <c r="E99" s="467">
        <f t="shared" si="109"/>
        <v>8905027.74</v>
      </c>
      <c r="F99" s="467"/>
      <c r="G99" s="468">
        <v>519697.279999999</v>
      </c>
      <c r="H99" s="470"/>
      <c r="I99" s="467">
        <f t="shared" si="110"/>
        <v>8385330.46</v>
      </c>
      <c r="J99" s="467">
        <v>200000</v>
      </c>
      <c r="K99" s="467">
        <v>0.2</v>
      </c>
      <c r="L99" s="467">
        <f t="shared" si="111"/>
        <v>1677066.092</v>
      </c>
      <c r="M99" s="467">
        <f t="shared" si="112"/>
        <v>1877066.092</v>
      </c>
      <c r="N99" s="467">
        <f t="shared" si="113"/>
        <v>2396763.372</v>
      </c>
      <c r="O99" s="467">
        <f t="shared" si="114"/>
        <v>6508264.368</v>
      </c>
      <c r="P99" s="467">
        <f t="shared" si="115"/>
        <v>21000</v>
      </c>
      <c r="Q99" s="467">
        <f t="shared" si="116"/>
        <v>33000</v>
      </c>
      <c r="R99" s="467">
        <f t="shared" si="117"/>
        <v>75000</v>
      </c>
      <c r="S99" s="467">
        <f t="shared" si="118"/>
        <v>95000</v>
      </c>
      <c r="T99" s="467">
        <f t="shared" si="119"/>
        <v>336000</v>
      </c>
      <c r="U99" s="467">
        <f t="shared" ref="U99:U102" si="124">0.24*(O99-3200000)</f>
        <v>793983.44832</v>
      </c>
      <c r="V99" s="467">
        <f t="shared" si="121"/>
        <v>1353983.44832</v>
      </c>
      <c r="W99" s="474">
        <v>12</v>
      </c>
      <c r="X99" s="467">
        <f t="shared" si="122"/>
        <v>112831.954026667</v>
      </c>
      <c r="Y99" s="470"/>
      <c r="Z99" s="929">
        <f t="shared" si="123"/>
        <v>112831.954026667</v>
      </c>
      <c r="AA99" s="806">
        <v>87392.5495444267</v>
      </c>
      <c r="AB99" s="806">
        <f t="shared" si="78"/>
        <v>25439.40448224</v>
      </c>
      <c r="AC99" s="479"/>
      <c r="AD99" s="479"/>
      <c r="AE99" s="479"/>
    </row>
    <row r="100" ht="15.5" spans="1:31">
      <c r="A100" s="464">
        <v>89</v>
      </c>
      <c r="B100" s="643" t="s">
        <v>247</v>
      </c>
      <c r="C100" s="467">
        <v>466244.9625</v>
      </c>
      <c r="D100" s="466">
        <v>12</v>
      </c>
      <c r="E100" s="467">
        <f t="shared" si="109"/>
        <v>5594939.55</v>
      </c>
      <c r="F100" s="467"/>
      <c r="G100" s="468">
        <v>316752.400000001</v>
      </c>
      <c r="H100" s="470"/>
      <c r="I100" s="467">
        <f t="shared" si="110"/>
        <v>5278187.15</v>
      </c>
      <c r="J100" s="467">
        <v>200000</v>
      </c>
      <c r="K100" s="467">
        <v>0.2</v>
      </c>
      <c r="L100" s="467">
        <f t="shared" si="111"/>
        <v>1055637.43</v>
      </c>
      <c r="M100" s="467">
        <f t="shared" si="112"/>
        <v>1255637.43</v>
      </c>
      <c r="N100" s="467">
        <f t="shared" si="113"/>
        <v>1572389.83</v>
      </c>
      <c r="O100" s="467">
        <f t="shared" si="114"/>
        <v>4022549.72</v>
      </c>
      <c r="P100" s="467">
        <f t="shared" si="115"/>
        <v>21000</v>
      </c>
      <c r="Q100" s="467">
        <f t="shared" si="116"/>
        <v>33000</v>
      </c>
      <c r="R100" s="467">
        <f t="shared" si="117"/>
        <v>75000</v>
      </c>
      <c r="S100" s="467">
        <f t="shared" si="118"/>
        <v>95000</v>
      </c>
      <c r="T100" s="467">
        <f t="shared" si="119"/>
        <v>336000</v>
      </c>
      <c r="U100" s="467">
        <f t="shared" si="124"/>
        <v>197411.9328</v>
      </c>
      <c r="V100" s="467">
        <f t="shared" si="121"/>
        <v>757411.9328</v>
      </c>
      <c r="W100" s="474">
        <v>12</v>
      </c>
      <c r="X100" s="467">
        <f t="shared" si="122"/>
        <v>63117.6610666667</v>
      </c>
      <c r="Y100" s="470"/>
      <c r="Z100" s="929">
        <f t="shared" si="123"/>
        <v>63117.6610666667</v>
      </c>
      <c r="AA100" s="806">
        <v>46740.2649028267</v>
      </c>
      <c r="AB100" s="806">
        <f t="shared" si="78"/>
        <v>16377.39616384</v>
      </c>
      <c r="AC100" s="479"/>
      <c r="AD100" s="479"/>
      <c r="AE100" s="479"/>
    </row>
    <row r="101" ht="31" spans="1:31">
      <c r="A101" s="464"/>
      <c r="B101" s="351" t="s">
        <v>250</v>
      </c>
      <c r="C101" s="467">
        <v>466751.8625</v>
      </c>
      <c r="D101" s="466">
        <v>12</v>
      </c>
      <c r="E101" s="467">
        <f t="shared" si="109"/>
        <v>5601022.35</v>
      </c>
      <c r="F101" s="467"/>
      <c r="G101" s="468">
        <v>317190.799999999</v>
      </c>
      <c r="H101" s="470"/>
      <c r="I101" s="467">
        <f t="shared" si="110"/>
        <v>5283831.55</v>
      </c>
      <c r="J101" s="467">
        <v>200000</v>
      </c>
      <c r="K101" s="467">
        <v>0.2</v>
      </c>
      <c r="L101" s="467">
        <f t="shared" si="111"/>
        <v>1056766.31</v>
      </c>
      <c r="M101" s="467">
        <f t="shared" si="112"/>
        <v>1256766.31</v>
      </c>
      <c r="N101" s="467">
        <f t="shared" si="113"/>
        <v>1573957.11</v>
      </c>
      <c r="O101" s="467">
        <f t="shared" si="114"/>
        <v>4027065.24</v>
      </c>
      <c r="P101" s="467">
        <f t="shared" si="115"/>
        <v>21000</v>
      </c>
      <c r="Q101" s="467">
        <f t="shared" si="116"/>
        <v>33000</v>
      </c>
      <c r="R101" s="467">
        <f t="shared" si="117"/>
        <v>75000</v>
      </c>
      <c r="S101" s="467">
        <f t="shared" si="118"/>
        <v>95000</v>
      </c>
      <c r="T101" s="467">
        <f t="shared" si="119"/>
        <v>336000</v>
      </c>
      <c r="U101" s="467">
        <f t="shared" si="124"/>
        <v>198495.6576</v>
      </c>
      <c r="V101" s="467">
        <f t="shared" si="121"/>
        <v>758495.6576</v>
      </c>
      <c r="W101" s="474">
        <v>12</v>
      </c>
      <c r="X101" s="467">
        <f t="shared" si="122"/>
        <v>63207.9714666667</v>
      </c>
      <c r="Y101" s="470"/>
      <c r="Z101" s="929">
        <f t="shared" si="123"/>
        <v>63207.9714666667</v>
      </c>
      <c r="AA101" s="806">
        <v>87883.38</v>
      </c>
      <c r="AB101" s="806">
        <f t="shared" si="78"/>
        <v>-24675.4085333333</v>
      </c>
      <c r="AC101" s="479"/>
      <c r="AD101" s="479"/>
      <c r="AE101" s="479"/>
    </row>
    <row r="102" ht="15.5" spans="1:31">
      <c r="A102" s="464"/>
      <c r="B102" s="351" t="s">
        <v>251</v>
      </c>
      <c r="C102" s="467">
        <v>442901.94</v>
      </c>
      <c r="D102" s="466">
        <v>12</v>
      </c>
      <c r="E102" s="467">
        <f t="shared" si="109"/>
        <v>5314823.28</v>
      </c>
      <c r="G102" s="468">
        <v>296563.840000001</v>
      </c>
      <c r="H102" s="470"/>
      <c r="I102" s="467">
        <f t="shared" si="110"/>
        <v>5018259.44</v>
      </c>
      <c r="J102" s="467">
        <v>200000</v>
      </c>
      <c r="K102" s="467">
        <v>0.2</v>
      </c>
      <c r="L102" s="467">
        <f t="shared" si="111"/>
        <v>1003651.888</v>
      </c>
      <c r="M102" s="467">
        <f t="shared" si="112"/>
        <v>1203651.888</v>
      </c>
      <c r="N102" s="467">
        <f t="shared" si="113"/>
        <v>1500215.728</v>
      </c>
      <c r="O102" s="467">
        <f t="shared" si="114"/>
        <v>3814607.552</v>
      </c>
      <c r="P102" s="467">
        <f t="shared" si="115"/>
        <v>21000</v>
      </c>
      <c r="Q102" s="467">
        <f t="shared" si="116"/>
        <v>33000</v>
      </c>
      <c r="R102" s="467">
        <f t="shared" si="117"/>
        <v>75000</v>
      </c>
      <c r="S102" s="467">
        <f t="shared" si="118"/>
        <v>95000</v>
      </c>
      <c r="T102" s="467">
        <f t="shared" si="119"/>
        <v>336000</v>
      </c>
      <c r="U102" s="467">
        <f t="shared" si="124"/>
        <v>147505.81248</v>
      </c>
      <c r="V102" s="467">
        <f t="shared" si="121"/>
        <v>707505.81248</v>
      </c>
      <c r="W102" s="474">
        <v>12</v>
      </c>
      <c r="X102" s="467">
        <f t="shared" si="122"/>
        <v>58958.8177066667</v>
      </c>
      <c r="Y102" s="470"/>
      <c r="Z102" s="929">
        <f t="shared" si="123"/>
        <v>58958.8177066667</v>
      </c>
      <c r="AA102" s="806">
        <v>43740.2565414267</v>
      </c>
      <c r="AB102" s="806">
        <f t="shared" si="78"/>
        <v>15218.56116524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255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257</v>
      </c>
      <c r="C105" s="467">
        <v>592662.666666667</v>
      </c>
      <c r="D105" s="466">
        <v>12</v>
      </c>
      <c r="E105" s="467">
        <f t="shared" ref="E105:E107" si="125">C105*D105</f>
        <v>7111952</v>
      </c>
      <c r="F105" s="467"/>
      <c r="G105" s="468">
        <v>463356.160000001</v>
      </c>
      <c r="H105" s="470"/>
      <c r="I105" s="467">
        <f t="shared" ref="I105:I107" si="126">E105-F105-G105-H105</f>
        <v>6648595.84</v>
      </c>
      <c r="J105" s="467">
        <v>200000</v>
      </c>
      <c r="K105" s="467">
        <v>0.2</v>
      </c>
      <c r="L105" s="467">
        <f t="shared" ref="L105:L107" si="127">I105*K105</f>
        <v>1329719.168</v>
      </c>
      <c r="M105" s="467">
        <f t="shared" ref="M105:M107" si="128">J105+L105</f>
        <v>1529719.168</v>
      </c>
      <c r="N105" s="467">
        <f t="shared" ref="N105:N107" si="129">F105+G105+H105+M105</f>
        <v>1993075.328</v>
      </c>
      <c r="O105" s="467">
        <f t="shared" ref="O105:O107" si="130">E105-N105</f>
        <v>5118876.672</v>
      </c>
      <c r="P105" s="467">
        <f t="shared" ref="P105:P107" si="131">IF(O105&lt;300000,0.07*O105,21000)</f>
        <v>21000</v>
      </c>
      <c r="Q105" s="467">
        <f t="shared" ref="Q105:Q107" si="132">IF((O105-300000)&lt;0,0,IF((O105-300000)&lt;300000,0.11*(O105-300000),33000))</f>
        <v>33000</v>
      </c>
      <c r="R105" s="467">
        <f t="shared" ref="R105:R107" si="133">IF((O105-600000)&lt;0,0,IF((O105-600000)&lt;500000,0.15*(O105-600000),75000))</f>
        <v>75000</v>
      </c>
      <c r="S105" s="467">
        <f t="shared" ref="S105:S107" si="134">IF((O105-1100000)&lt;0,0,IF((O105-1100000)&lt;500000,0.19*(O105-1100000),95000))</f>
        <v>95000</v>
      </c>
      <c r="T105" s="467">
        <f t="shared" ref="T105:T107" si="135">IF((O105-1600000)&lt;0,0,IF((O105-1600000)&lt;1600000,0.21*(O105-1600000),336000))</f>
        <v>336000</v>
      </c>
      <c r="U105" s="467">
        <f t="shared" ref="U105:U107" si="136">0.24*(O105-3200000)</f>
        <v>460530.401280001</v>
      </c>
      <c r="V105" s="467">
        <f t="shared" ref="V105:V107" si="137">P105+Q105+R105+S105+T105+U105</f>
        <v>1020530.40128</v>
      </c>
      <c r="W105" s="474">
        <v>12</v>
      </c>
      <c r="X105" s="467">
        <f t="shared" ref="X105:X107" si="138">V105/W105</f>
        <v>85044.2001066667</v>
      </c>
      <c r="Y105" s="470"/>
      <c r="Z105" s="929">
        <f t="shared" ref="Z105:Z107" si="139">X105</f>
        <v>85044.2001066667</v>
      </c>
      <c r="AA105" s="806">
        <v>66538.0689066667</v>
      </c>
      <c r="AB105" s="806">
        <f t="shared" ref="AB103:AB134" si="140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260</v>
      </c>
      <c r="C106" s="467">
        <v>578828.166666667</v>
      </c>
      <c r="D106" s="466">
        <v>12</v>
      </c>
      <c r="E106" s="467">
        <f t="shared" si="125"/>
        <v>6945938</v>
      </c>
      <c r="F106" s="467"/>
      <c r="G106" s="468">
        <v>450075.040000001</v>
      </c>
      <c r="H106" s="470"/>
      <c r="I106" s="467">
        <f t="shared" si="126"/>
        <v>6495862.96</v>
      </c>
      <c r="J106" s="467">
        <v>200000</v>
      </c>
      <c r="K106" s="467">
        <v>0.2</v>
      </c>
      <c r="L106" s="467">
        <f t="shared" si="127"/>
        <v>1299172.592</v>
      </c>
      <c r="M106" s="467">
        <f t="shared" si="128"/>
        <v>1499172.592</v>
      </c>
      <c r="N106" s="467">
        <f t="shared" si="129"/>
        <v>1949247.632</v>
      </c>
      <c r="O106" s="467">
        <f t="shared" si="130"/>
        <v>4996690.368</v>
      </c>
      <c r="P106" s="467">
        <f t="shared" si="131"/>
        <v>21000</v>
      </c>
      <c r="Q106" s="467">
        <f t="shared" si="132"/>
        <v>33000</v>
      </c>
      <c r="R106" s="467">
        <f t="shared" si="133"/>
        <v>75000</v>
      </c>
      <c r="S106" s="467">
        <f t="shared" si="134"/>
        <v>95000</v>
      </c>
      <c r="T106" s="467">
        <f t="shared" si="135"/>
        <v>336000</v>
      </c>
      <c r="U106" s="467">
        <f t="shared" si="136"/>
        <v>431205.688320001</v>
      </c>
      <c r="V106" s="467">
        <f t="shared" si="137"/>
        <v>991205.688320001</v>
      </c>
      <c r="W106" s="474">
        <v>12</v>
      </c>
      <c r="X106" s="467">
        <f t="shared" si="138"/>
        <v>82600.4740266667</v>
      </c>
      <c r="Y106" s="470"/>
      <c r="Z106" s="929">
        <f t="shared" si="139"/>
        <v>82600.4740266667</v>
      </c>
      <c r="AA106" s="806">
        <v>66538.0689066667</v>
      </c>
      <c r="AB106" s="806">
        <f t="shared" si="140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190</v>
      </c>
      <c r="C107" s="473">
        <v>981346.583333334</v>
      </c>
      <c r="D107" s="466">
        <v>12</v>
      </c>
      <c r="E107" s="467">
        <f t="shared" si="125"/>
        <v>11776159</v>
      </c>
      <c r="F107" s="467">
        <v>90896.2250000001</v>
      </c>
      <c r="G107" s="468">
        <v>463532.72</v>
      </c>
      <c r="H107" s="470"/>
      <c r="I107" s="467">
        <f t="shared" si="126"/>
        <v>11221730.055</v>
      </c>
      <c r="J107" s="467">
        <v>200000</v>
      </c>
      <c r="K107" s="467">
        <v>0.2</v>
      </c>
      <c r="L107" s="467">
        <f t="shared" si="127"/>
        <v>2244346.011</v>
      </c>
      <c r="M107" s="467">
        <f t="shared" si="128"/>
        <v>2444346.011</v>
      </c>
      <c r="N107" s="467">
        <f t="shared" si="129"/>
        <v>2998774.956</v>
      </c>
      <c r="O107" s="467">
        <f t="shared" si="130"/>
        <v>8777384.04400001</v>
      </c>
      <c r="P107" s="467">
        <f t="shared" si="131"/>
        <v>21000</v>
      </c>
      <c r="Q107" s="467">
        <f t="shared" si="132"/>
        <v>33000</v>
      </c>
      <c r="R107" s="467">
        <f t="shared" si="133"/>
        <v>75000</v>
      </c>
      <c r="S107" s="467">
        <f t="shared" si="134"/>
        <v>95000</v>
      </c>
      <c r="T107" s="467">
        <f t="shared" si="135"/>
        <v>336000</v>
      </c>
      <c r="U107" s="467">
        <f t="shared" si="136"/>
        <v>1338572.17056</v>
      </c>
      <c r="V107" s="467">
        <f t="shared" si="137"/>
        <v>1898572.17056</v>
      </c>
      <c r="W107" s="474">
        <v>12</v>
      </c>
      <c r="X107" s="467">
        <f t="shared" si="138"/>
        <v>158214.347546667</v>
      </c>
      <c r="Y107" s="470"/>
      <c r="Z107" s="929">
        <f t="shared" si="139"/>
        <v>158214.347546667</v>
      </c>
      <c r="AA107" s="806">
        <v>59711.1152554667</v>
      </c>
      <c r="AB107" s="806">
        <f t="shared" si="140"/>
        <v>98503.2322912001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618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272</v>
      </c>
      <c r="C110" s="467">
        <v>337890.916666667</v>
      </c>
      <c r="D110" s="466">
        <v>12</v>
      </c>
      <c r="E110" s="467">
        <f>C110*D110</f>
        <v>4054691</v>
      </c>
      <c r="F110" s="467"/>
      <c r="G110" s="468">
        <v>276375.280000001</v>
      </c>
      <c r="H110" s="470"/>
      <c r="I110" s="467">
        <f>E110-F110-G110-H110</f>
        <v>3778315.72</v>
      </c>
      <c r="J110" s="467">
        <v>200000</v>
      </c>
      <c r="K110" s="467">
        <v>0.2</v>
      </c>
      <c r="L110" s="467">
        <f>I110*K110</f>
        <v>755663.144000001</v>
      </c>
      <c r="M110" s="467">
        <f>J110+L110</f>
        <v>955663.144000001</v>
      </c>
      <c r="N110" s="467">
        <f>F110+G110+H110+M110</f>
        <v>1232038.424</v>
      </c>
      <c r="O110" s="467">
        <f>E110-N110</f>
        <v>2822652.576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256757.04096</v>
      </c>
      <c r="U110" s="467"/>
      <c r="V110" s="467">
        <f>P110+Q110+R110+S110+T110+U110</f>
        <v>480757.04096</v>
      </c>
      <c r="W110" s="474">
        <v>12</v>
      </c>
      <c r="X110" s="467">
        <f>V110/W110</f>
        <v>40063.0867466667</v>
      </c>
      <c r="Y110" s="470"/>
      <c r="Z110" s="929">
        <f>X110</f>
        <v>40063.0867466667</v>
      </c>
      <c r="AA110" s="806">
        <v>29305.1955466667</v>
      </c>
      <c r="AB110" s="806">
        <f t="shared" si="140"/>
        <v>10757.8912</v>
      </c>
      <c r="AC110" s="479"/>
      <c r="AD110" s="479"/>
      <c r="AE110" s="479"/>
    </row>
    <row r="111" ht="15.5" spans="1:31">
      <c r="A111" s="464">
        <v>93</v>
      </c>
      <c r="B111" s="643" t="s">
        <v>277</v>
      </c>
      <c r="C111" s="467">
        <v>337890.916666667</v>
      </c>
      <c r="D111" s="466">
        <v>12</v>
      </c>
      <c r="E111" s="467">
        <f>C111*D111</f>
        <v>4054691</v>
      </c>
      <c r="F111" s="467"/>
      <c r="G111" s="468">
        <v>276375.280000001</v>
      </c>
      <c r="H111" s="470"/>
      <c r="I111" s="467">
        <f>E111-F111-G111-H111</f>
        <v>3778315.72</v>
      </c>
      <c r="J111" s="467">
        <v>200000</v>
      </c>
      <c r="K111" s="467">
        <v>0.2</v>
      </c>
      <c r="L111" s="467">
        <f>I111*K111</f>
        <v>755663.144000001</v>
      </c>
      <c r="M111" s="467">
        <f>J111+L111</f>
        <v>955663.144000001</v>
      </c>
      <c r="N111" s="467">
        <f>F111+G111+H111+M111</f>
        <v>1232038.424</v>
      </c>
      <c r="O111" s="467">
        <f>E111-N111</f>
        <v>2822652.576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256757.04096</v>
      </c>
      <c r="U111" s="467"/>
      <c r="V111" s="467">
        <f>P111+Q111+R111+S111+T111+U111</f>
        <v>480757.04096</v>
      </c>
      <c r="W111" s="474">
        <v>12</v>
      </c>
      <c r="X111" s="467">
        <f>V111/W111</f>
        <v>40063.0867466667</v>
      </c>
      <c r="Y111" s="470"/>
      <c r="Z111" s="929">
        <f>X111</f>
        <v>40063.0867466667</v>
      </c>
      <c r="AA111" s="806">
        <v>29305.1955466667</v>
      </c>
      <c r="AB111" s="806">
        <f t="shared" si="140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279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280</v>
      </c>
      <c r="C115" s="467">
        <v>1947106.41666666</v>
      </c>
      <c r="D115" s="466">
        <v>12</v>
      </c>
      <c r="E115" s="467">
        <f t="shared" ref="E115:E124" si="141">C115*D115</f>
        <v>23365276.9999999</v>
      </c>
      <c r="F115" s="467">
        <v>326033.124999999</v>
      </c>
      <c r="G115" s="468">
        <v>1677222.16</v>
      </c>
      <c r="H115" s="470"/>
      <c r="I115" s="467">
        <f t="shared" ref="I115:I124" si="142">E115-F115-G115-H115</f>
        <v>21362021.7149999</v>
      </c>
      <c r="J115" s="467">
        <v>200000</v>
      </c>
      <c r="K115" s="467">
        <v>0.2</v>
      </c>
      <c r="L115" s="467">
        <f t="shared" ref="L115:L124" si="143">I115*K115</f>
        <v>4272404.34299998</v>
      </c>
      <c r="M115" s="467">
        <f t="shared" ref="M115:M124" si="144">J115+L115</f>
        <v>4472404.34299998</v>
      </c>
      <c r="N115" s="467">
        <f t="shared" ref="N115:N124" si="145">F115+G115+H115+M115</f>
        <v>6475659.62799998</v>
      </c>
      <c r="O115" s="467">
        <f t="shared" ref="O115:O124" si="146">E115-N115</f>
        <v>16889617.3719999</v>
      </c>
      <c r="P115" s="467">
        <f t="shared" ref="P115:P124" si="147">IF(O115&lt;300000,0.07*O115,21000)</f>
        <v>21000</v>
      </c>
      <c r="Q115" s="467">
        <f t="shared" ref="Q115:Q124" si="148">IF((O115-300000)&lt;0,0,IF((O115-300000)&lt;300000,0.11*(O115-300000),33000))</f>
        <v>33000</v>
      </c>
      <c r="R115" s="467">
        <f t="shared" ref="R115:R124" si="149">IF((O115-600000)&lt;0,0,IF((O115-600000)&lt;500000,0.15*(O115-600000),75000))</f>
        <v>75000</v>
      </c>
      <c r="S115" s="467">
        <f t="shared" ref="S115:S124" si="150">IF((O115-1100000)&lt;0,0,IF((O115-1100000)&lt;500000,0.19*(O115-1100000),95000))</f>
        <v>95000</v>
      </c>
      <c r="T115" s="467">
        <f t="shared" ref="T115:T124" si="151">IF((O115-1600000)&lt;0,0,IF((O115-1600000)&lt;1600000,0.21*(O115-1600000),336000))</f>
        <v>336000</v>
      </c>
      <c r="U115" s="467">
        <f t="shared" ref="U115:U121" si="152">0.24*(O115-3200000)</f>
        <v>3285508.16927998</v>
      </c>
      <c r="V115" s="467">
        <f t="shared" ref="V115:V124" si="153">P115+Q115+R115+S115+T115+U115</f>
        <v>3845508.16927998</v>
      </c>
      <c r="W115" s="474">
        <v>12</v>
      </c>
      <c r="X115" s="467">
        <f t="shared" ref="X115:X124" si="154">V115/W115</f>
        <v>320459.014106665</v>
      </c>
      <c r="Y115" s="470"/>
      <c r="Z115" s="929">
        <f t="shared" ref="Z115:Z124" si="155">X115</f>
        <v>320459.014106665</v>
      </c>
      <c r="AA115" s="806">
        <v>270279.895370667</v>
      </c>
      <c r="AB115" s="806">
        <f t="shared" si="140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282</v>
      </c>
      <c r="C116" s="467">
        <v>1095306.75</v>
      </c>
      <c r="D116" s="466">
        <v>12</v>
      </c>
      <c r="E116" s="467">
        <f t="shared" si="141"/>
        <v>13143681</v>
      </c>
      <c r="F116" s="467">
        <v>166400.85</v>
      </c>
      <c r="G116" s="468">
        <v>869094.48</v>
      </c>
      <c r="H116" s="470"/>
      <c r="I116" s="467">
        <f t="shared" si="142"/>
        <v>12108185.67</v>
      </c>
      <c r="J116" s="467">
        <v>200000</v>
      </c>
      <c r="K116" s="467">
        <v>0.2</v>
      </c>
      <c r="L116" s="467">
        <f t="shared" si="143"/>
        <v>2421637.134</v>
      </c>
      <c r="M116" s="467">
        <f t="shared" si="144"/>
        <v>2621637.134</v>
      </c>
      <c r="N116" s="467">
        <f t="shared" si="145"/>
        <v>3657132.464</v>
      </c>
      <c r="O116" s="467">
        <f t="shared" si="146"/>
        <v>9486548.536</v>
      </c>
      <c r="P116" s="467">
        <f t="shared" si="147"/>
        <v>21000</v>
      </c>
      <c r="Q116" s="467">
        <f t="shared" si="148"/>
        <v>33000</v>
      </c>
      <c r="R116" s="467">
        <f t="shared" si="149"/>
        <v>75000</v>
      </c>
      <c r="S116" s="467">
        <f t="shared" si="150"/>
        <v>95000</v>
      </c>
      <c r="T116" s="467">
        <f t="shared" si="151"/>
        <v>336000</v>
      </c>
      <c r="U116" s="467">
        <f t="shared" si="152"/>
        <v>1508771.64864</v>
      </c>
      <c r="V116" s="467">
        <f t="shared" si="153"/>
        <v>2068771.64864</v>
      </c>
      <c r="W116" s="474">
        <v>12</v>
      </c>
      <c r="X116" s="467">
        <f t="shared" si="154"/>
        <v>172397.637386667</v>
      </c>
      <c r="Y116" s="470"/>
      <c r="Z116" s="929">
        <f t="shared" si="155"/>
        <v>172397.637386667</v>
      </c>
      <c r="AA116" s="806">
        <v>143803.32</v>
      </c>
      <c r="AB116" s="806">
        <f t="shared" si="140"/>
        <v>28594.3173866667</v>
      </c>
      <c r="AC116" s="479"/>
      <c r="AD116" s="479"/>
      <c r="AE116" s="479"/>
    </row>
    <row r="117" ht="15.5" spans="1:31">
      <c r="A117" s="464"/>
      <c r="B117" s="639" t="s">
        <v>284</v>
      </c>
      <c r="C117" s="467">
        <v>1099008.91666667</v>
      </c>
      <c r="D117" s="466">
        <v>12</v>
      </c>
      <c r="E117" s="467">
        <f t="shared" si="141"/>
        <v>13188107</v>
      </c>
      <c r="F117" s="467">
        <v>157015.95</v>
      </c>
      <c r="G117" s="468">
        <v>818602.639999999</v>
      </c>
      <c r="H117" s="470"/>
      <c r="I117" s="467">
        <f t="shared" si="142"/>
        <v>12212488.41</v>
      </c>
      <c r="J117" s="467">
        <v>200000</v>
      </c>
      <c r="K117" s="467">
        <v>0.2</v>
      </c>
      <c r="L117" s="467">
        <f t="shared" si="143"/>
        <v>2442497.682</v>
      </c>
      <c r="M117" s="467">
        <f t="shared" si="144"/>
        <v>2642497.682</v>
      </c>
      <c r="N117" s="467">
        <f t="shared" si="145"/>
        <v>3618116.272</v>
      </c>
      <c r="O117" s="467">
        <f t="shared" si="146"/>
        <v>9569990.728</v>
      </c>
      <c r="P117" s="467">
        <f t="shared" si="147"/>
        <v>21000</v>
      </c>
      <c r="Q117" s="467">
        <f t="shared" si="148"/>
        <v>33000</v>
      </c>
      <c r="R117" s="467">
        <f t="shared" si="149"/>
        <v>75000</v>
      </c>
      <c r="S117" s="467">
        <f t="shared" si="150"/>
        <v>95000</v>
      </c>
      <c r="T117" s="467">
        <f t="shared" si="151"/>
        <v>336000</v>
      </c>
      <c r="U117" s="467">
        <f t="shared" si="152"/>
        <v>1528797.77472</v>
      </c>
      <c r="V117" s="467">
        <f t="shared" si="153"/>
        <v>2088797.77472</v>
      </c>
      <c r="W117" s="474">
        <v>12</v>
      </c>
      <c r="X117" s="467">
        <f t="shared" si="154"/>
        <v>174066.481226667</v>
      </c>
      <c r="Y117" s="470"/>
      <c r="Z117" s="929">
        <f t="shared" si="155"/>
        <v>174066.481226667</v>
      </c>
      <c r="AA117" s="806">
        <v>145172.65</v>
      </c>
      <c r="AB117" s="806">
        <f t="shared" si="140"/>
        <v>28893.8312266667</v>
      </c>
      <c r="AC117" s="479"/>
      <c r="AD117" s="479"/>
      <c r="AE117" s="479"/>
    </row>
    <row r="118" ht="15.5" spans="1:31">
      <c r="A118" s="464"/>
      <c r="B118" s="643" t="s">
        <v>287</v>
      </c>
      <c r="C118" s="467">
        <v>659657</v>
      </c>
      <c r="D118" s="466">
        <v>12</v>
      </c>
      <c r="E118" s="467">
        <f t="shared" si="141"/>
        <v>7915884</v>
      </c>
      <c r="F118" s="467"/>
      <c r="G118" s="468">
        <v>566070.72</v>
      </c>
      <c r="H118" s="470"/>
      <c r="I118" s="467">
        <f t="shared" si="142"/>
        <v>7349813.28</v>
      </c>
      <c r="J118" s="467">
        <v>200000</v>
      </c>
      <c r="K118" s="467">
        <v>0.2</v>
      </c>
      <c r="L118" s="467">
        <f t="shared" si="143"/>
        <v>1469962.656</v>
      </c>
      <c r="M118" s="467">
        <f t="shared" si="144"/>
        <v>1669962.656</v>
      </c>
      <c r="N118" s="467">
        <f t="shared" si="145"/>
        <v>2236033.376</v>
      </c>
      <c r="O118" s="467">
        <f t="shared" si="146"/>
        <v>5679850.624</v>
      </c>
      <c r="P118" s="467">
        <f t="shared" si="147"/>
        <v>21000</v>
      </c>
      <c r="Q118" s="467">
        <f t="shared" si="148"/>
        <v>33000</v>
      </c>
      <c r="R118" s="467">
        <f t="shared" si="149"/>
        <v>75000</v>
      </c>
      <c r="S118" s="467">
        <f t="shared" si="150"/>
        <v>95000</v>
      </c>
      <c r="T118" s="467">
        <f t="shared" si="151"/>
        <v>336000</v>
      </c>
      <c r="U118" s="467">
        <f t="shared" si="152"/>
        <v>595164.14976</v>
      </c>
      <c r="V118" s="467">
        <f t="shared" si="153"/>
        <v>1155164.14976</v>
      </c>
      <c r="W118" s="474">
        <v>12</v>
      </c>
      <c r="X118" s="467">
        <f t="shared" si="154"/>
        <v>96263.6791466667</v>
      </c>
      <c r="Y118" s="470"/>
      <c r="Z118" s="929">
        <f t="shared" si="155"/>
        <v>96263.6791466667</v>
      </c>
      <c r="AA118" s="806">
        <v>75215.4333866667</v>
      </c>
      <c r="AB118" s="806">
        <f t="shared" si="140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288</v>
      </c>
      <c r="C119" s="467">
        <v>628165.25</v>
      </c>
      <c r="D119" s="466">
        <v>12</v>
      </c>
      <c r="E119" s="467">
        <f t="shared" si="141"/>
        <v>7537983</v>
      </c>
      <c r="F119" s="467">
        <v>104314.775</v>
      </c>
      <c r="G119" s="468">
        <v>535838.64</v>
      </c>
      <c r="H119" s="470"/>
      <c r="I119" s="467">
        <f t="shared" si="142"/>
        <v>6897829.585</v>
      </c>
      <c r="J119" s="467">
        <v>200000</v>
      </c>
      <c r="K119" s="467">
        <v>0.2</v>
      </c>
      <c r="L119" s="467">
        <f t="shared" si="143"/>
        <v>1379565.917</v>
      </c>
      <c r="M119" s="467">
        <f t="shared" si="144"/>
        <v>1579565.917</v>
      </c>
      <c r="N119" s="467">
        <f t="shared" si="145"/>
        <v>2219719.332</v>
      </c>
      <c r="O119" s="467">
        <f t="shared" si="146"/>
        <v>5318263.668</v>
      </c>
      <c r="P119" s="467">
        <f t="shared" si="147"/>
        <v>21000</v>
      </c>
      <c r="Q119" s="467">
        <f t="shared" si="148"/>
        <v>33000</v>
      </c>
      <c r="R119" s="467">
        <f t="shared" si="149"/>
        <v>75000</v>
      </c>
      <c r="S119" s="467">
        <f t="shared" si="150"/>
        <v>95000</v>
      </c>
      <c r="T119" s="467">
        <f t="shared" si="151"/>
        <v>336000</v>
      </c>
      <c r="U119" s="467">
        <f t="shared" si="152"/>
        <v>508383.28032</v>
      </c>
      <c r="V119" s="467">
        <f t="shared" si="153"/>
        <v>1068383.28032</v>
      </c>
      <c r="W119" s="474">
        <v>12</v>
      </c>
      <c r="X119" s="467">
        <f t="shared" si="154"/>
        <v>89031.9400266667</v>
      </c>
      <c r="Y119" s="470"/>
      <c r="Z119" s="929">
        <f t="shared" si="155"/>
        <v>89031.9400266667</v>
      </c>
      <c r="AA119" s="806">
        <v>70189.3087466667</v>
      </c>
      <c r="AB119" s="806">
        <f t="shared" si="140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290</v>
      </c>
      <c r="C120" s="467">
        <v>643911.083333334</v>
      </c>
      <c r="D120" s="466">
        <v>12</v>
      </c>
      <c r="E120" s="467">
        <f t="shared" si="141"/>
        <v>7726933.00000001</v>
      </c>
      <c r="F120" s="473">
        <v>107120</v>
      </c>
      <c r="G120" s="468">
        <v>550954.64</v>
      </c>
      <c r="H120" s="470"/>
      <c r="I120" s="467">
        <f t="shared" si="142"/>
        <v>7068858.36000001</v>
      </c>
      <c r="J120" s="467">
        <v>200000</v>
      </c>
      <c r="K120" s="467">
        <v>0.2</v>
      </c>
      <c r="L120" s="467">
        <f t="shared" si="143"/>
        <v>1413771.672</v>
      </c>
      <c r="M120" s="467">
        <f t="shared" si="144"/>
        <v>1613771.672</v>
      </c>
      <c r="N120" s="467">
        <f t="shared" si="145"/>
        <v>2271846.312</v>
      </c>
      <c r="O120" s="467">
        <f t="shared" si="146"/>
        <v>5455086.68800001</v>
      </c>
      <c r="P120" s="467">
        <f t="shared" si="147"/>
        <v>21000</v>
      </c>
      <c r="Q120" s="467">
        <f t="shared" si="148"/>
        <v>33000</v>
      </c>
      <c r="R120" s="467">
        <f t="shared" si="149"/>
        <v>75000</v>
      </c>
      <c r="S120" s="467">
        <f t="shared" si="150"/>
        <v>95000</v>
      </c>
      <c r="T120" s="467">
        <f t="shared" si="151"/>
        <v>336000</v>
      </c>
      <c r="U120" s="467">
        <f t="shared" si="152"/>
        <v>541220.805120001</v>
      </c>
      <c r="V120" s="467">
        <f t="shared" si="153"/>
        <v>1101220.80512</v>
      </c>
      <c r="W120" s="474">
        <v>12</v>
      </c>
      <c r="X120" s="467">
        <f t="shared" si="154"/>
        <v>91768.4004266668</v>
      </c>
      <c r="Y120" s="470"/>
      <c r="Z120" s="929">
        <f t="shared" si="155"/>
        <v>91768.4004266668</v>
      </c>
      <c r="AA120" s="806">
        <v>72636.1041866667</v>
      </c>
      <c r="AB120" s="806">
        <f t="shared" si="140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293</v>
      </c>
      <c r="C121" s="467">
        <v>415320.666666667</v>
      </c>
      <c r="D121" s="466">
        <v>12</v>
      </c>
      <c r="E121" s="467">
        <f t="shared" si="141"/>
        <v>4983848</v>
      </c>
      <c r="F121" s="473"/>
      <c r="G121" s="468">
        <v>341107.840000001</v>
      </c>
      <c r="H121" s="470"/>
      <c r="I121" s="467">
        <f t="shared" si="142"/>
        <v>4642740.16</v>
      </c>
      <c r="J121" s="467">
        <v>200000</v>
      </c>
      <c r="K121" s="467">
        <v>0.2</v>
      </c>
      <c r="L121" s="467">
        <f t="shared" si="143"/>
        <v>928548.032000001</v>
      </c>
      <c r="M121" s="467">
        <f t="shared" si="144"/>
        <v>1128548.032</v>
      </c>
      <c r="N121" s="467">
        <f t="shared" si="145"/>
        <v>1469655.872</v>
      </c>
      <c r="O121" s="467">
        <f t="shared" si="146"/>
        <v>3514192.128</v>
      </c>
      <c r="P121" s="467">
        <f t="shared" si="147"/>
        <v>21000</v>
      </c>
      <c r="Q121" s="467">
        <f t="shared" si="148"/>
        <v>33000</v>
      </c>
      <c r="R121" s="467">
        <f t="shared" si="149"/>
        <v>75000</v>
      </c>
      <c r="S121" s="467">
        <f t="shared" si="150"/>
        <v>95000</v>
      </c>
      <c r="T121" s="467">
        <f t="shared" si="151"/>
        <v>336000</v>
      </c>
      <c r="U121" s="467">
        <f t="shared" si="152"/>
        <v>75406.1107200006</v>
      </c>
      <c r="V121" s="467">
        <f t="shared" si="153"/>
        <v>635406.110720001</v>
      </c>
      <c r="W121" s="474">
        <v>12</v>
      </c>
      <c r="X121" s="467">
        <f t="shared" si="154"/>
        <v>52950.5092266667</v>
      </c>
      <c r="Y121" s="470"/>
      <c r="Z121" s="929">
        <f t="shared" si="155"/>
        <v>52950.5092266667</v>
      </c>
      <c r="AA121" s="806">
        <v>39052.3130666667</v>
      </c>
      <c r="AB121" s="806">
        <f t="shared" si="140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295</v>
      </c>
      <c r="C122" s="467">
        <v>351910.75</v>
      </c>
      <c r="D122" s="466">
        <v>12</v>
      </c>
      <c r="E122" s="467">
        <f t="shared" si="141"/>
        <v>4222929</v>
      </c>
      <c r="F122" s="467"/>
      <c r="G122" s="468">
        <v>289834.32</v>
      </c>
      <c r="H122" s="470"/>
      <c r="I122" s="467">
        <f t="shared" si="142"/>
        <v>3933094.68</v>
      </c>
      <c r="J122" s="467">
        <v>200000</v>
      </c>
      <c r="K122" s="467">
        <v>0.2</v>
      </c>
      <c r="L122" s="467">
        <f t="shared" si="143"/>
        <v>786618.936</v>
      </c>
      <c r="M122" s="467">
        <f t="shared" si="144"/>
        <v>986618.936</v>
      </c>
      <c r="N122" s="467">
        <f t="shared" si="145"/>
        <v>1276453.256</v>
      </c>
      <c r="O122" s="467">
        <f t="shared" si="146"/>
        <v>2946475.744</v>
      </c>
      <c r="P122" s="467">
        <f t="shared" si="147"/>
        <v>21000</v>
      </c>
      <c r="Q122" s="467">
        <f t="shared" si="148"/>
        <v>33000</v>
      </c>
      <c r="R122" s="467">
        <f t="shared" si="149"/>
        <v>75000</v>
      </c>
      <c r="S122" s="467">
        <f t="shared" si="150"/>
        <v>95000</v>
      </c>
      <c r="T122" s="467">
        <f t="shared" si="151"/>
        <v>282759.90624</v>
      </c>
      <c r="U122" s="467"/>
      <c r="V122" s="467">
        <f t="shared" si="153"/>
        <v>506759.90624</v>
      </c>
      <c r="W122" s="474">
        <v>12</v>
      </c>
      <c r="X122" s="467">
        <f t="shared" si="154"/>
        <v>42229.9921866667</v>
      </c>
      <c r="Y122" s="470"/>
      <c r="Z122" s="929">
        <f t="shared" si="155"/>
        <v>42229.9921866667</v>
      </c>
      <c r="AA122" s="806">
        <v>30259.1656266667</v>
      </c>
      <c r="AB122" s="806">
        <f t="shared" si="140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297</v>
      </c>
      <c r="C123" s="467">
        <v>351910.75</v>
      </c>
      <c r="D123" s="466">
        <v>12</v>
      </c>
      <c r="E123" s="467">
        <f t="shared" si="141"/>
        <v>4222929</v>
      </c>
      <c r="F123" s="467"/>
      <c r="G123" s="468">
        <v>289834.32</v>
      </c>
      <c r="H123" s="470"/>
      <c r="I123" s="467">
        <f t="shared" si="142"/>
        <v>3933094.68</v>
      </c>
      <c r="J123" s="467">
        <v>200000</v>
      </c>
      <c r="K123" s="467">
        <v>0.2</v>
      </c>
      <c r="L123" s="467">
        <f t="shared" si="143"/>
        <v>786618.936</v>
      </c>
      <c r="M123" s="467">
        <f t="shared" si="144"/>
        <v>986618.936</v>
      </c>
      <c r="N123" s="467">
        <f t="shared" si="145"/>
        <v>1276453.256</v>
      </c>
      <c r="O123" s="467">
        <f t="shared" si="146"/>
        <v>2946475.744</v>
      </c>
      <c r="P123" s="467">
        <f t="shared" si="147"/>
        <v>21000</v>
      </c>
      <c r="Q123" s="467">
        <f t="shared" si="148"/>
        <v>33000</v>
      </c>
      <c r="R123" s="467">
        <f t="shared" si="149"/>
        <v>75000</v>
      </c>
      <c r="S123" s="467">
        <f t="shared" si="150"/>
        <v>95000</v>
      </c>
      <c r="T123" s="467">
        <f t="shared" si="151"/>
        <v>282759.90624</v>
      </c>
      <c r="U123" s="467"/>
      <c r="V123" s="467">
        <f t="shared" si="153"/>
        <v>506759.90624</v>
      </c>
      <c r="W123" s="474">
        <v>12</v>
      </c>
      <c r="X123" s="467">
        <f t="shared" si="154"/>
        <v>42229.9921866667</v>
      </c>
      <c r="Y123" s="470"/>
      <c r="Z123" s="929">
        <f t="shared" si="155"/>
        <v>42229.9921866667</v>
      </c>
      <c r="AA123" s="806">
        <v>30259.1656266667</v>
      </c>
      <c r="AB123" s="806">
        <f t="shared" si="140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298</v>
      </c>
      <c r="C124" s="467">
        <v>344900.833333334</v>
      </c>
      <c r="D124" s="466">
        <v>12</v>
      </c>
      <c r="E124" s="467">
        <f t="shared" si="141"/>
        <v>4138810.00000001</v>
      </c>
      <c r="F124" s="467"/>
      <c r="G124" s="468">
        <v>283104.8</v>
      </c>
      <c r="H124" s="470"/>
      <c r="I124" s="467">
        <f t="shared" si="142"/>
        <v>3855705.20000001</v>
      </c>
      <c r="J124" s="467">
        <v>200000</v>
      </c>
      <c r="K124" s="467">
        <v>0.2</v>
      </c>
      <c r="L124" s="467">
        <f t="shared" si="143"/>
        <v>771141.040000002</v>
      </c>
      <c r="M124" s="467">
        <f t="shared" si="144"/>
        <v>971141.040000002</v>
      </c>
      <c r="N124" s="467">
        <f t="shared" si="145"/>
        <v>1254245.84</v>
      </c>
      <c r="O124" s="467">
        <f t="shared" si="146"/>
        <v>2884564.16000001</v>
      </c>
      <c r="P124" s="467">
        <f t="shared" si="147"/>
        <v>21000</v>
      </c>
      <c r="Q124" s="467">
        <f t="shared" si="148"/>
        <v>33000</v>
      </c>
      <c r="R124" s="467">
        <f t="shared" si="149"/>
        <v>75000</v>
      </c>
      <c r="S124" s="467">
        <f t="shared" si="150"/>
        <v>95000</v>
      </c>
      <c r="T124" s="467">
        <f t="shared" si="151"/>
        <v>269758.473600001</v>
      </c>
      <c r="U124" s="467"/>
      <c r="V124" s="467">
        <f t="shared" si="153"/>
        <v>493758.473600001</v>
      </c>
      <c r="W124" s="474">
        <v>12</v>
      </c>
      <c r="X124" s="467">
        <f t="shared" si="154"/>
        <v>41146.5394666668</v>
      </c>
      <c r="Y124" s="470"/>
      <c r="Z124" s="929">
        <f t="shared" si="155"/>
        <v>41146.5394666668</v>
      </c>
      <c r="AA124" s="806">
        <v>29305.1955466667</v>
      </c>
      <c r="AB124" s="806">
        <f t="shared" si="140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120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300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301</v>
      </c>
      <c r="C128" s="467">
        <v>1747612</v>
      </c>
      <c r="D128" s="466">
        <v>12</v>
      </c>
      <c r="E128" s="467">
        <f t="shared" ref="E128:E187" si="156">C128*D128</f>
        <v>20971344</v>
      </c>
      <c r="F128" s="467">
        <v>307730.499999999</v>
      </c>
      <c r="G128" s="468">
        <v>1581707.52</v>
      </c>
      <c r="H128" s="470"/>
      <c r="I128" s="467">
        <f t="shared" ref="I128:I187" si="157">E128-F128-G128-H128</f>
        <v>19081905.98</v>
      </c>
      <c r="J128" s="467">
        <v>200000</v>
      </c>
      <c r="K128" s="467">
        <v>0.2</v>
      </c>
      <c r="L128" s="467">
        <f t="shared" ref="L128:L187" si="158">I128*K128</f>
        <v>3816381.196</v>
      </c>
      <c r="M128" s="467">
        <f t="shared" ref="M128:M187" si="159">J128+L128</f>
        <v>4016381.196</v>
      </c>
      <c r="N128" s="467">
        <f t="shared" ref="N128:N187" si="160">F128+G128+H128+M128</f>
        <v>5905819.216</v>
      </c>
      <c r="O128" s="467">
        <f t="shared" ref="O128:O187" si="161">E128-N128</f>
        <v>15065524.784</v>
      </c>
      <c r="P128" s="467">
        <f t="shared" ref="P128:P187" si="162">IF(O128&lt;300000,0.07*O128,21000)</f>
        <v>21000</v>
      </c>
      <c r="Q128" s="467">
        <f t="shared" ref="Q128:Q187" si="163">IF((O128-300000)&lt;0,0,IF((O128-300000)&lt;300000,0.11*(O128-300000),33000))</f>
        <v>33000</v>
      </c>
      <c r="R128" s="467">
        <f t="shared" ref="R128:R187" si="164">IF((O128-600000)&lt;0,0,IF((O128-600000)&lt;500000,0.15*(O128-600000),75000))</f>
        <v>75000</v>
      </c>
      <c r="S128" s="467">
        <f t="shared" ref="S128:S187" si="165">IF((O128-1100000)&lt;0,0,IF((O128-1100000)&lt;500000,0.19*(O128-1100000),95000))</f>
        <v>95000</v>
      </c>
      <c r="T128" s="467">
        <f t="shared" ref="T128:T187" si="166">IF((O128-1600000)&lt;0,0,IF((O128-1600000)&lt;1600000,0.21*(O128-1600000),336000))</f>
        <v>336000</v>
      </c>
      <c r="U128" s="467">
        <f t="shared" ref="U128:U140" si="167">0.24*(O128-3200000)</f>
        <v>2847725.94816</v>
      </c>
      <c r="V128" s="467">
        <f t="shared" ref="V128:V187" si="168">P128+Q128+R128+S128+T128+U128</f>
        <v>3407725.94816</v>
      </c>
      <c r="W128" s="474">
        <v>12</v>
      </c>
      <c r="X128" s="467">
        <f t="shared" ref="X128:X187" si="169">V128/W128</f>
        <v>283977.162346667</v>
      </c>
      <c r="Y128" s="470"/>
      <c r="Z128" s="929">
        <f t="shared" ref="Z128:Z187" si="170">X128</f>
        <v>283977.162346667</v>
      </c>
      <c r="AA128" s="806">
        <v>236486.748679467</v>
      </c>
      <c r="AB128" s="806">
        <f t="shared" si="140"/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304</v>
      </c>
      <c r="C129" s="467">
        <v>1045306.75</v>
      </c>
      <c r="D129" s="466">
        <v>12</v>
      </c>
      <c r="E129" s="467">
        <f t="shared" si="156"/>
        <v>12543681</v>
      </c>
      <c r="F129" s="467">
        <v>166400.85</v>
      </c>
      <c r="G129" s="468">
        <v>869094.48</v>
      </c>
      <c r="H129" s="470"/>
      <c r="I129" s="467">
        <f t="shared" si="157"/>
        <v>11508185.67</v>
      </c>
      <c r="J129" s="467">
        <v>200000</v>
      </c>
      <c r="K129" s="467">
        <v>0.2</v>
      </c>
      <c r="L129" s="467">
        <f t="shared" si="158"/>
        <v>2301637.134</v>
      </c>
      <c r="M129" s="467">
        <f t="shared" si="159"/>
        <v>2501637.134</v>
      </c>
      <c r="N129" s="467">
        <f t="shared" si="160"/>
        <v>3537132.464</v>
      </c>
      <c r="O129" s="467">
        <f t="shared" si="161"/>
        <v>9006548.536</v>
      </c>
      <c r="P129" s="467">
        <f t="shared" si="162"/>
        <v>21000</v>
      </c>
      <c r="Q129" s="467">
        <f t="shared" si="163"/>
        <v>33000</v>
      </c>
      <c r="R129" s="467">
        <f t="shared" si="164"/>
        <v>75000</v>
      </c>
      <c r="S129" s="467">
        <f t="shared" si="165"/>
        <v>95000</v>
      </c>
      <c r="T129" s="467">
        <f t="shared" si="166"/>
        <v>336000</v>
      </c>
      <c r="U129" s="467">
        <f t="shared" si="167"/>
        <v>1393571.64864</v>
      </c>
      <c r="V129" s="467">
        <f t="shared" si="168"/>
        <v>1953571.64864</v>
      </c>
      <c r="W129" s="474">
        <v>12</v>
      </c>
      <c r="X129" s="467">
        <f t="shared" si="169"/>
        <v>162797.637386667</v>
      </c>
      <c r="Y129" s="470"/>
      <c r="Z129" s="929">
        <f t="shared" si="170"/>
        <v>162797.637386667</v>
      </c>
      <c r="AA129" s="806">
        <v>140007.527610667</v>
      </c>
      <c r="AB129" s="806">
        <f t="shared" si="140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306</v>
      </c>
      <c r="C130" s="467">
        <v>780713.916666666</v>
      </c>
      <c r="D130" s="466">
        <v>12</v>
      </c>
      <c r="E130" s="467">
        <f t="shared" si="156"/>
        <v>9368566.99999999</v>
      </c>
      <c r="F130" s="467">
        <v>129894.325</v>
      </c>
      <c r="G130" s="468">
        <v>672685.36</v>
      </c>
      <c r="H130" s="470"/>
      <c r="I130" s="467">
        <f t="shared" si="157"/>
        <v>8565987.31499999</v>
      </c>
      <c r="J130" s="467">
        <v>200000</v>
      </c>
      <c r="K130" s="467">
        <v>0.2</v>
      </c>
      <c r="L130" s="467">
        <f t="shared" si="158"/>
        <v>1713197.463</v>
      </c>
      <c r="M130" s="467">
        <f t="shared" si="159"/>
        <v>1913197.463</v>
      </c>
      <c r="N130" s="467">
        <f t="shared" si="160"/>
        <v>2715777.148</v>
      </c>
      <c r="O130" s="467">
        <f t="shared" si="161"/>
        <v>6652789.85199999</v>
      </c>
      <c r="P130" s="467">
        <f t="shared" si="162"/>
        <v>21000</v>
      </c>
      <c r="Q130" s="467">
        <f t="shared" si="163"/>
        <v>33000</v>
      </c>
      <c r="R130" s="467">
        <f t="shared" si="164"/>
        <v>75000</v>
      </c>
      <c r="S130" s="467">
        <f t="shared" si="165"/>
        <v>95000</v>
      </c>
      <c r="T130" s="467">
        <f t="shared" si="166"/>
        <v>336000</v>
      </c>
      <c r="U130" s="467">
        <f t="shared" si="167"/>
        <v>828669.564479999</v>
      </c>
      <c r="V130" s="467">
        <f t="shared" si="168"/>
        <v>1388669.56448</v>
      </c>
      <c r="W130" s="474">
        <v>12</v>
      </c>
      <c r="X130" s="467">
        <f t="shared" si="169"/>
        <v>115722.463706667</v>
      </c>
      <c r="Y130" s="470"/>
      <c r="Z130" s="929">
        <f t="shared" si="170"/>
        <v>115722.463706667</v>
      </c>
      <c r="AA130" s="806">
        <v>95312.1873578667</v>
      </c>
      <c r="AB130" s="806">
        <f t="shared" si="140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308</v>
      </c>
      <c r="C131" s="467">
        <v>780713.916666666</v>
      </c>
      <c r="D131" s="466">
        <v>12</v>
      </c>
      <c r="E131" s="467">
        <f t="shared" si="156"/>
        <v>9368566.99999999</v>
      </c>
      <c r="F131" s="467">
        <v>129894.325</v>
      </c>
      <c r="G131" s="468">
        <v>672685.36</v>
      </c>
      <c r="H131" s="470"/>
      <c r="I131" s="467">
        <f t="shared" si="157"/>
        <v>8565987.31499999</v>
      </c>
      <c r="J131" s="467">
        <v>200000</v>
      </c>
      <c r="K131" s="467">
        <v>0.2</v>
      </c>
      <c r="L131" s="467">
        <f t="shared" si="158"/>
        <v>1713197.463</v>
      </c>
      <c r="M131" s="467">
        <f t="shared" si="159"/>
        <v>1913197.463</v>
      </c>
      <c r="N131" s="467">
        <f t="shared" si="160"/>
        <v>2715777.148</v>
      </c>
      <c r="O131" s="467">
        <f t="shared" si="161"/>
        <v>6652789.85199999</v>
      </c>
      <c r="P131" s="467">
        <f t="shared" si="162"/>
        <v>21000</v>
      </c>
      <c r="Q131" s="467">
        <f t="shared" si="163"/>
        <v>33000</v>
      </c>
      <c r="R131" s="467">
        <f t="shared" si="164"/>
        <v>75000</v>
      </c>
      <c r="S131" s="467">
        <f t="shared" si="165"/>
        <v>95000</v>
      </c>
      <c r="T131" s="467">
        <f t="shared" si="166"/>
        <v>336000</v>
      </c>
      <c r="U131" s="467">
        <f t="shared" si="167"/>
        <v>828669.564479999</v>
      </c>
      <c r="V131" s="467">
        <f t="shared" si="168"/>
        <v>1388669.56448</v>
      </c>
      <c r="W131" s="474">
        <v>12</v>
      </c>
      <c r="X131" s="467">
        <f t="shared" si="169"/>
        <v>115722.463706667</v>
      </c>
      <c r="Y131" s="470"/>
      <c r="Z131" s="929">
        <f t="shared" si="170"/>
        <v>115722.463706667</v>
      </c>
      <c r="AA131" s="806">
        <v>95312.1873578667</v>
      </c>
      <c r="AB131" s="806">
        <f t="shared" si="140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310</v>
      </c>
      <c r="C132" s="467">
        <v>780713.916666666</v>
      </c>
      <c r="D132" s="466">
        <v>12</v>
      </c>
      <c r="E132" s="467">
        <f t="shared" si="156"/>
        <v>9368566.99999999</v>
      </c>
      <c r="F132" s="467">
        <v>129894.325</v>
      </c>
      <c r="G132" s="468">
        <v>672685.36</v>
      </c>
      <c r="H132" s="470"/>
      <c r="I132" s="467">
        <f t="shared" si="157"/>
        <v>8565987.31499999</v>
      </c>
      <c r="J132" s="467">
        <v>200000</v>
      </c>
      <c r="K132" s="467">
        <v>0.2</v>
      </c>
      <c r="L132" s="467">
        <f t="shared" si="158"/>
        <v>1713197.463</v>
      </c>
      <c r="M132" s="467">
        <f t="shared" si="159"/>
        <v>1913197.463</v>
      </c>
      <c r="N132" s="467">
        <f t="shared" si="160"/>
        <v>2715777.148</v>
      </c>
      <c r="O132" s="467">
        <f t="shared" si="161"/>
        <v>6652789.85199999</v>
      </c>
      <c r="P132" s="467">
        <f t="shared" si="162"/>
        <v>21000</v>
      </c>
      <c r="Q132" s="467">
        <f t="shared" si="163"/>
        <v>33000</v>
      </c>
      <c r="R132" s="467">
        <f t="shared" si="164"/>
        <v>75000</v>
      </c>
      <c r="S132" s="467">
        <f t="shared" si="165"/>
        <v>95000</v>
      </c>
      <c r="T132" s="467">
        <f t="shared" si="166"/>
        <v>336000</v>
      </c>
      <c r="U132" s="467">
        <f t="shared" si="167"/>
        <v>828669.564479999</v>
      </c>
      <c r="V132" s="467">
        <f t="shared" si="168"/>
        <v>1388669.56448</v>
      </c>
      <c r="W132" s="474">
        <v>12</v>
      </c>
      <c r="X132" s="467">
        <f t="shared" si="169"/>
        <v>115722.463706667</v>
      </c>
      <c r="Y132" s="470"/>
      <c r="Z132" s="929">
        <f t="shared" si="170"/>
        <v>115722.463706667</v>
      </c>
      <c r="AA132" s="806">
        <v>95312.1873578667</v>
      </c>
      <c r="AB132" s="806">
        <f t="shared" si="140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313</v>
      </c>
      <c r="C133" s="467">
        <v>567472.75</v>
      </c>
      <c r="D133" s="466">
        <v>12</v>
      </c>
      <c r="E133" s="467">
        <f t="shared" si="156"/>
        <v>6809673</v>
      </c>
      <c r="F133" s="467"/>
      <c r="G133" s="468">
        <v>477573.84</v>
      </c>
      <c r="H133" s="470"/>
      <c r="I133" s="467">
        <f t="shared" si="157"/>
        <v>6332099.16</v>
      </c>
      <c r="J133" s="467">
        <v>200000</v>
      </c>
      <c r="K133" s="467">
        <v>0.2</v>
      </c>
      <c r="L133" s="467">
        <f t="shared" si="158"/>
        <v>1266419.832</v>
      </c>
      <c r="M133" s="467">
        <f t="shared" si="159"/>
        <v>1466419.832</v>
      </c>
      <c r="N133" s="467">
        <f t="shared" si="160"/>
        <v>1943993.672</v>
      </c>
      <c r="O133" s="467">
        <f t="shared" si="161"/>
        <v>4865679.328</v>
      </c>
      <c r="P133" s="467">
        <f t="shared" si="162"/>
        <v>21000</v>
      </c>
      <c r="Q133" s="467">
        <f t="shared" si="163"/>
        <v>33000</v>
      </c>
      <c r="R133" s="467">
        <f t="shared" si="164"/>
        <v>75000</v>
      </c>
      <c r="S133" s="467">
        <f t="shared" si="165"/>
        <v>95000</v>
      </c>
      <c r="T133" s="467">
        <f t="shared" si="166"/>
        <v>336000</v>
      </c>
      <c r="U133" s="467">
        <f t="shared" si="167"/>
        <v>399763.03872</v>
      </c>
      <c r="V133" s="467">
        <f t="shared" si="168"/>
        <v>959763.03872</v>
      </c>
      <c r="W133" s="474">
        <v>12</v>
      </c>
      <c r="X133" s="467">
        <f t="shared" si="169"/>
        <v>79980.2532266667</v>
      </c>
      <c r="Y133" s="470"/>
      <c r="Z133" s="929">
        <f t="shared" si="170"/>
        <v>79980.2532266667</v>
      </c>
      <c r="AA133" s="806">
        <v>61040.2352554667</v>
      </c>
      <c r="AB133" s="806">
        <f t="shared" si="140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314</v>
      </c>
      <c r="C134" s="467">
        <v>602846.583333334</v>
      </c>
      <c r="D134" s="466">
        <v>12</v>
      </c>
      <c r="E134" s="467">
        <f t="shared" si="156"/>
        <v>7234159.00000001</v>
      </c>
      <c r="F134" s="467"/>
      <c r="G134" s="468">
        <v>463532.72</v>
      </c>
      <c r="H134" s="470"/>
      <c r="I134" s="467">
        <f t="shared" si="157"/>
        <v>6770626.28000001</v>
      </c>
      <c r="J134" s="467">
        <v>200000</v>
      </c>
      <c r="K134" s="467">
        <v>0.2</v>
      </c>
      <c r="L134" s="467">
        <f t="shared" si="158"/>
        <v>1354125.256</v>
      </c>
      <c r="M134" s="467">
        <f t="shared" si="159"/>
        <v>1554125.256</v>
      </c>
      <c r="N134" s="467">
        <f t="shared" si="160"/>
        <v>2017657.976</v>
      </c>
      <c r="O134" s="467">
        <f t="shared" si="161"/>
        <v>5216501.02400001</v>
      </c>
      <c r="P134" s="467">
        <f t="shared" si="162"/>
        <v>21000</v>
      </c>
      <c r="Q134" s="467">
        <f t="shared" si="163"/>
        <v>33000</v>
      </c>
      <c r="R134" s="467">
        <f t="shared" si="164"/>
        <v>75000</v>
      </c>
      <c r="S134" s="467">
        <f t="shared" si="165"/>
        <v>95000</v>
      </c>
      <c r="T134" s="467">
        <f t="shared" si="166"/>
        <v>336000</v>
      </c>
      <c r="U134" s="467">
        <f t="shared" si="167"/>
        <v>483960.245760001</v>
      </c>
      <c r="V134" s="467">
        <f t="shared" si="168"/>
        <v>1043960.24576</v>
      </c>
      <c r="W134" s="474">
        <v>12</v>
      </c>
      <c r="X134" s="467">
        <f t="shared" si="169"/>
        <v>86996.6871466668</v>
      </c>
      <c r="Y134" s="470"/>
      <c r="Z134" s="929">
        <f t="shared" si="170"/>
        <v>86996.6871466668</v>
      </c>
      <c r="AA134" s="806">
        <v>70642.73</v>
      </c>
      <c r="AB134" s="806">
        <f t="shared" si="140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316</v>
      </c>
      <c r="C135" s="467">
        <v>542662.666666667</v>
      </c>
      <c r="D135" s="466">
        <v>12</v>
      </c>
      <c r="E135" s="467">
        <f t="shared" si="156"/>
        <v>6511952</v>
      </c>
      <c r="F135" s="467"/>
      <c r="G135" s="468">
        <v>463356.160000001</v>
      </c>
      <c r="H135" s="470"/>
      <c r="I135" s="467">
        <f t="shared" si="157"/>
        <v>6048595.84</v>
      </c>
      <c r="J135" s="467">
        <v>200000</v>
      </c>
      <c r="K135" s="467">
        <v>0.2</v>
      </c>
      <c r="L135" s="467">
        <f t="shared" si="158"/>
        <v>1209719.168</v>
      </c>
      <c r="M135" s="467">
        <f t="shared" si="159"/>
        <v>1409719.168</v>
      </c>
      <c r="N135" s="467">
        <f t="shared" si="160"/>
        <v>1873075.328</v>
      </c>
      <c r="O135" s="467">
        <f t="shared" si="161"/>
        <v>4638876.672</v>
      </c>
      <c r="P135" s="467">
        <f t="shared" si="162"/>
        <v>21000</v>
      </c>
      <c r="Q135" s="467">
        <f t="shared" si="163"/>
        <v>33000</v>
      </c>
      <c r="R135" s="467">
        <f t="shared" si="164"/>
        <v>75000</v>
      </c>
      <c r="S135" s="467">
        <f t="shared" si="165"/>
        <v>95000</v>
      </c>
      <c r="T135" s="467">
        <f t="shared" si="166"/>
        <v>336000</v>
      </c>
      <c r="U135" s="467">
        <f t="shared" si="167"/>
        <v>345330.401280001</v>
      </c>
      <c r="V135" s="467">
        <f t="shared" si="168"/>
        <v>905330.401280001</v>
      </c>
      <c r="W135" s="474">
        <v>12</v>
      </c>
      <c r="X135" s="467">
        <f t="shared" si="169"/>
        <v>75444.2001066667</v>
      </c>
      <c r="Y135" s="470"/>
      <c r="Z135" s="929">
        <f t="shared" si="170"/>
        <v>75444.2001066667</v>
      </c>
      <c r="AA135" s="806">
        <v>56938.0689066667</v>
      </c>
      <c r="AB135" s="806">
        <f t="shared" ref="AB135:AB166" si="171">Z135-AA135</f>
        <v>18506.1312</v>
      </c>
      <c r="AC135" s="479"/>
      <c r="AD135" s="479"/>
      <c r="AE135" s="479"/>
    </row>
    <row r="136" ht="15.5" spans="1:31">
      <c r="A136" s="464">
        <v>120</v>
      </c>
      <c r="B136" s="643" t="s">
        <v>318</v>
      </c>
      <c r="C136" s="467">
        <v>528828.166666667</v>
      </c>
      <c r="D136" s="466">
        <v>12</v>
      </c>
      <c r="E136" s="467">
        <f t="shared" si="156"/>
        <v>6345938</v>
      </c>
      <c r="F136" s="467">
        <v>88398.8750000001</v>
      </c>
      <c r="G136" s="468">
        <v>450075.040000001</v>
      </c>
      <c r="H136" s="470"/>
      <c r="I136" s="467">
        <f t="shared" si="157"/>
        <v>5807464.085</v>
      </c>
      <c r="J136" s="467">
        <v>200000</v>
      </c>
      <c r="K136" s="467">
        <v>0.2</v>
      </c>
      <c r="L136" s="467">
        <f t="shared" si="158"/>
        <v>1161492.817</v>
      </c>
      <c r="M136" s="467">
        <f t="shared" si="159"/>
        <v>1361492.817</v>
      </c>
      <c r="N136" s="467">
        <f t="shared" si="160"/>
        <v>1899966.732</v>
      </c>
      <c r="O136" s="467">
        <f t="shared" si="161"/>
        <v>4445971.268</v>
      </c>
      <c r="P136" s="467">
        <f t="shared" si="162"/>
        <v>21000</v>
      </c>
      <c r="Q136" s="467">
        <f t="shared" si="163"/>
        <v>33000</v>
      </c>
      <c r="R136" s="467">
        <f t="shared" si="164"/>
        <v>75000</v>
      </c>
      <c r="S136" s="467">
        <f t="shared" si="165"/>
        <v>95000</v>
      </c>
      <c r="T136" s="467">
        <f t="shared" si="166"/>
        <v>336000</v>
      </c>
      <c r="U136" s="467">
        <f t="shared" si="167"/>
        <v>299033.10432</v>
      </c>
      <c r="V136" s="467">
        <f t="shared" si="168"/>
        <v>859033.10432</v>
      </c>
      <c r="W136" s="474">
        <v>12</v>
      </c>
      <c r="X136" s="467">
        <f t="shared" si="169"/>
        <v>71586.0920266667</v>
      </c>
      <c r="Y136" s="470"/>
      <c r="Z136" s="929">
        <f t="shared" si="170"/>
        <v>71586.0920266667</v>
      </c>
      <c r="AA136" s="806">
        <v>54681.2915626667</v>
      </c>
      <c r="AB136" s="806">
        <f t="shared" si="171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320</v>
      </c>
      <c r="C137" s="467">
        <v>514993.583333333</v>
      </c>
      <c r="D137" s="466">
        <v>12</v>
      </c>
      <c r="E137" s="467">
        <f t="shared" si="156"/>
        <v>6179923</v>
      </c>
      <c r="F137" s="467"/>
      <c r="G137" s="468">
        <v>436793.839999999</v>
      </c>
      <c r="H137" s="470"/>
      <c r="I137" s="467">
        <f t="shared" si="157"/>
        <v>5743129.16</v>
      </c>
      <c r="J137" s="467">
        <v>200000</v>
      </c>
      <c r="K137" s="467">
        <v>0.2</v>
      </c>
      <c r="L137" s="467">
        <f t="shared" si="158"/>
        <v>1148625.832</v>
      </c>
      <c r="M137" s="467">
        <f t="shared" si="159"/>
        <v>1348625.832</v>
      </c>
      <c r="N137" s="467">
        <f t="shared" si="160"/>
        <v>1785419.672</v>
      </c>
      <c r="O137" s="467">
        <f t="shared" si="161"/>
        <v>4394503.328</v>
      </c>
      <c r="P137" s="467">
        <f t="shared" si="162"/>
        <v>21000</v>
      </c>
      <c r="Q137" s="467">
        <f t="shared" si="163"/>
        <v>33000</v>
      </c>
      <c r="R137" s="467">
        <f t="shared" si="164"/>
        <v>75000</v>
      </c>
      <c r="S137" s="467">
        <f t="shared" si="165"/>
        <v>95000</v>
      </c>
      <c r="T137" s="467">
        <f t="shared" si="166"/>
        <v>336000</v>
      </c>
      <c r="U137" s="467">
        <f t="shared" si="167"/>
        <v>286680.798719999</v>
      </c>
      <c r="V137" s="467">
        <f t="shared" si="168"/>
        <v>846680.798719999</v>
      </c>
      <c r="W137" s="474">
        <v>12</v>
      </c>
      <c r="X137" s="467">
        <f t="shared" si="169"/>
        <v>70556.7332266666</v>
      </c>
      <c r="Y137" s="470"/>
      <c r="Z137" s="929">
        <f t="shared" si="170"/>
        <v>70556.7332266666</v>
      </c>
      <c r="AA137" s="806">
        <v>52631.1146666667</v>
      </c>
      <c r="AB137" s="806">
        <f t="shared" si="171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322</v>
      </c>
      <c r="C138" s="467">
        <v>501159</v>
      </c>
      <c r="D138" s="466">
        <v>12</v>
      </c>
      <c r="E138" s="467">
        <f t="shared" si="156"/>
        <v>6013908</v>
      </c>
      <c r="F138" s="467"/>
      <c r="G138" s="468">
        <v>423512.64</v>
      </c>
      <c r="H138" s="470"/>
      <c r="I138" s="467">
        <f t="shared" si="157"/>
        <v>5590395.36</v>
      </c>
      <c r="J138" s="467">
        <v>200000</v>
      </c>
      <c r="K138" s="467">
        <v>0.2</v>
      </c>
      <c r="L138" s="467">
        <f t="shared" si="158"/>
        <v>1118079.072</v>
      </c>
      <c r="M138" s="467">
        <f t="shared" si="159"/>
        <v>1318079.072</v>
      </c>
      <c r="N138" s="467">
        <f t="shared" si="160"/>
        <v>1741591.712</v>
      </c>
      <c r="O138" s="467">
        <f t="shared" si="161"/>
        <v>4272316.288</v>
      </c>
      <c r="P138" s="467">
        <f t="shared" si="162"/>
        <v>21000</v>
      </c>
      <c r="Q138" s="467">
        <f t="shared" si="163"/>
        <v>33000</v>
      </c>
      <c r="R138" s="467">
        <f t="shared" si="164"/>
        <v>75000</v>
      </c>
      <c r="S138" s="467">
        <f t="shared" si="165"/>
        <v>95000</v>
      </c>
      <c r="T138" s="467">
        <f t="shared" si="166"/>
        <v>336000</v>
      </c>
      <c r="U138" s="467">
        <f t="shared" si="167"/>
        <v>257355.90912</v>
      </c>
      <c r="V138" s="467">
        <f t="shared" si="168"/>
        <v>817355.90912</v>
      </c>
      <c r="W138" s="474">
        <v>12</v>
      </c>
      <c r="X138" s="467">
        <f t="shared" si="169"/>
        <v>68112.9924266667</v>
      </c>
      <c r="Y138" s="470"/>
      <c r="Z138" s="929">
        <f t="shared" si="170"/>
        <v>68112.9924266667</v>
      </c>
      <c r="AA138" s="806">
        <v>52631.1146666667</v>
      </c>
      <c r="AB138" s="806">
        <f t="shared" si="171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323</v>
      </c>
      <c r="C139" s="467">
        <v>501159</v>
      </c>
      <c r="D139" s="466">
        <v>12</v>
      </c>
      <c r="E139" s="467">
        <f t="shared" si="156"/>
        <v>6013908</v>
      </c>
      <c r="F139" s="467">
        <v>83469.375</v>
      </c>
      <c r="G139" s="468">
        <v>423512.64</v>
      </c>
      <c r="H139" s="470"/>
      <c r="I139" s="467">
        <f t="shared" si="157"/>
        <v>5506925.985</v>
      </c>
      <c r="J139" s="467">
        <v>200000</v>
      </c>
      <c r="K139" s="467">
        <v>0.2</v>
      </c>
      <c r="L139" s="467">
        <f t="shared" si="158"/>
        <v>1101385.197</v>
      </c>
      <c r="M139" s="467">
        <f t="shared" si="159"/>
        <v>1301385.197</v>
      </c>
      <c r="N139" s="467">
        <f t="shared" si="160"/>
        <v>1808367.212</v>
      </c>
      <c r="O139" s="467">
        <f t="shared" si="161"/>
        <v>4205540.788</v>
      </c>
      <c r="P139" s="467">
        <f t="shared" si="162"/>
        <v>21000</v>
      </c>
      <c r="Q139" s="467">
        <f t="shared" si="163"/>
        <v>33000</v>
      </c>
      <c r="R139" s="467">
        <f t="shared" si="164"/>
        <v>75000</v>
      </c>
      <c r="S139" s="467">
        <f t="shared" si="165"/>
        <v>95000</v>
      </c>
      <c r="T139" s="467">
        <f t="shared" si="166"/>
        <v>336000</v>
      </c>
      <c r="U139" s="467">
        <f t="shared" si="167"/>
        <v>241329.78912</v>
      </c>
      <c r="V139" s="467">
        <f t="shared" si="168"/>
        <v>801329.78912</v>
      </c>
      <c r="W139" s="474">
        <v>12</v>
      </c>
      <c r="X139" s="467">
        <f t="shared" si="169"/>
        <v>66777.4824266667</v>
      </c>
      <c r="Y139" s="470"/>
      <c r="Z139" s="929">
        <f t="shared" si="170"/>
        <v>66777.4824266667</v>
      </c>
      <c r="AA139" s="806">
        <v>52631.1146666667</v>
      </c>
      <c r="AB139" s="806">
        <f t="shared" si="171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325</v>
      </c>
      <c r="C140" s="467">
        <v>514993.583333333</v>
      </c>
      <c r="D140" s="466">
        <v>12</v>
      </c>
      <c r="E140" s="467">
        <f t="shared" si="156"/>
        <v>6179923</v>
      </c>
      <c r="F140" s="467"/>
      <c r="G140" s="468">
        <v>436793.839999999</v>
      </c>
      <c r="H140" s="470"/>
      <c r="I140" s="467">
        <f t="shared" si="157"/>
        <v>5743129.16</v>
      </c>
      <c r="J140" s="467">
        <v>200000</v>
      </c>
      <c r="K140" s="467">
        <v>0.2</v>
      </c>
      <c r="L140" s="467">
        <f t="shared" si="158"/>
        <v>1148625.832</v>
      </c>
      <c r="M140" s="467">
        <f t="shared" si="159"/>
        <v>1348625.832</v>
      </c>
      <c r="N140" s="467">
        <f t="shared" si="160"/>
        <v>1785419.672</v>
      </c>
      <c r="O140" s="467">
        <f t="shared" si="161"/>
        <v>4394503.328</v>
      </c>
      <c r="P140" s="467">
        <f t="shared" si="162"/>
        <v>21000</v>
      </c>
      <c r="Q140" s="467">
        <f t="shared" si="163"/>
        <v>33000</v>
      </c>
      <c r="R140" s="467">
        <f t="shared" si="164"/>
        <v>75000</v>
      </c>
      <c r="S140" s="467">
        <f t="shared" si="165"/>
        <v>95000</v>
      </c>
      <c r="T140" s="467">
        <f t="shared" si="166"/>
        <v>336000</v>
      </c>
      <c r="U140" s="467">
        <f t="shared" si="167"/>
        <v>286680.798719999</v>
      </c>
      <c r="V140" s="467">
        <f t="shared" si="168"/>
        <v>846680.798719999</v>
      </c>
      <c r="W140" s="474">
        <v>12</v>
      </c>
      <c r="X140" s="467">
        <f t="shared" si="169"/>
        <v>70556.7332266666</v>
      </c>
      <c r="Y140" s="470"/>
      <c r="Z140" s="929">
        <f t="shared" si="170"/>
        <v>70556.7332266666</v>
      </c>
      <c r="AA140" s="806">
        <v>52631.1146666667</v>
      </c>
      <c r="AB140" s="806">
        <f t="shared" si="171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326</v>
      </c>
      <c r="C141" s="467">
        <v>450135.833333334</v>
      </c>
      <c r="D141" s="466">
        <v>12</v>
      </c>
      <c r="E141" s="467">
        <f t="shared" si="156"/>
        <v>5401630.00000001</v>
      </c>
      <c r="F141" s="467"/>
      <c r="G141" s="468">
        <v>374530.4</v>
      </c>
      <c r="H141" s="470"/>
      <c r="I141" s="467">
        <f t="shared" si="157"/>
        <v>5027099.60000001</v>
      </c>
      <c r="J141" s="467">
        <v>200000</v>
      </c>
      <c r="K141" s="467">
        <v>0.2</v>
      </c>
      <c r="L141" s="467">
        <f t="shared" si="158"/>
        <v>1005419.92</v>
      </c>
      <c r="M141" s="467">
        <f t="shared" si="159"/>
        <v>1205419.92</v>
      </c>
      <c r="N141" s="467">
        <f t="shared" si="160"/>
        <v>1579950.32</v>
      </c>
      <c r="O141" s="467">
        <f t="shared" si="161"/>
        <v>3821679.68000001</v>
      </c>
      <c r="P141" s="467">
        <f t="shared" si="162"/>
        <v>21000</v>
      </c>
      <c r="Q141" s="467">
        <f t="shared" si="163"/>
        <v>33000</v>
      </c>
      <c r="R141" s="467">
        <f t="shared" si="164"/>
        <v>75000</v>
      </c>
      <c r="S141" s="467">
        <f t="shared" si="165"/>
        <v>95000</v>
      </c>
      <c r="T141" s="467">
        <f t="shared" si="166"/>
        <v>336000</v>
      </c>
      <c r="U141" s="467">
        <f t="shared" ref="U141:U149" si="172">0.24*(O141-3200000)</f>
        <v>149203.123200002</v>
      </c>
      <c r="V141" s="467">
        <f t="shared" si="168"/>
        <v>709203.123200002</v>
      </c>
      <c r="W141" s="474">
        <v>12</v>
      </c>
      <c r="X141" s="467">
        <f t="shared" si="169"/>
        <v>59100.2602666668</v>
      </c>
      <c r="Y141" s="470"/>
      <c r="Z141" s="929">
        <f t="shared" si="170"/>
        <v>59100.2602666668</v>
      </c>
      <c r="AA141" s="806">
        <v>43763.9072266667</v>
      </c>
      <c r="AB141" s="806">
        <f t="shared" si="171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328</v>
      </c>
      <c r="C142" s="467">
        <v>417905.470777777</v>
      </c>
      <c r="D142" s="466">
        <v>12</v>
      </c>
      <c r="E142" s="467">
        <f t="shared" si="156"/>
        <v>5014865.64933332</v>
      </c>
      <c r="F142" s="467"/>
      <c r="G142" s="468">
        <v>333135.52</v>
      </c>
      <c r="H142" s="470"/>
      <c r="I142" s="467">
        <f t="shared" si="157"/>
        <v>4681730.12933332</v>
      </c>
      <c r="J142" s="467">
        <v>200000</v>
      </c>
      <c r="K142" s="467">
        <v>0.2</v>
      </c>
      <c r="L142" s="467">
        <f t="shared" si="158"/>
        <v>936346.025866665</v>
      </c>
      <c r="M142" s="467">
        <f t="shared" si="159"/>
        <v>1136346.02586666</v>
      </c>
      <c r="N142" s="467">
        <f t="shared" si="160"/>
        <v>1469481.54586666</v>
      </c>
      <c r="O142" s="467">
        <f t="shared" si="161"/>
        <v>3545384.10346666</v>
      </c>
      <c r="P142" s="467">
        <f t="shared" si="162"/>
        <v>21000</v>
      </c>
      <c r="Q142" s="467">
        <f t="shared" si="163"/>
        <v>33000</v>
      </c>
      <c r="R142" s="467">
        <f t="shared" si="164"/>
        <v>75000</v>
      </c>
      <c r="S142" s="467">
        <f t="shared" si="165"/>
        <v>95000</v>
      </c>
      <c r="T142" s="467">
        <f t="shared" si="166"/>
        <v>336000</v>
      </c>
      <c r="U142" s="467">
        <f t="shared" si="172"/>
        <v>82892.1848319982</v>
      </c>
      <c r="V142" s="467">
        <f t="shared" si="168"/>
        <v>642892.184831998</v>
      </c>
      <c r="W142" s="474">
        <v>12</v>
      </c>
      <c r="X142" s="467">
        <f t="shared" si="169"/>
        <v>53574.3487359998</v>
      </c>
      <c r="Y142" s="470"/>
      <c r="Z142" s="929">
        <f t="shared" si="170"/>
        <v>53574.3487359998</v>
      </c>
      <c r="AA142" s="806">
        <v>37921.5005866667</v>
      </c>
      <c r="AB142" s="806">
        <f t="shared" si="171"/>
        <v>15652.8481493331</v>
      </c>
      <c r="AC142" s="479"/>
      <c r="AD142" s="479"/>
      <c r="AE142" s="479"/>
    </row>
    <row r="143" ht="15.5" spans="1:31">
      <c r="A143" s="464">
        <v>127</v>
      </c>
      <c r="B143" s="643" t="s">
        <v>330</v>
      </c>
      <c r="C143" s="467">
        <v>459131.166666667</v>
      </c>
      <c r="D143" s="466">
        <v>12</v>
      </c>
      <c r="E143" s="467">
        <f t="shared" si="156"/>
        <v>5509574</v>
      </c>
      <c r="F143" s="467"/>
      <c r="G143" s="468">
        <v>438302.16</v>
      </c>
      <c r="H143" s="470"/>
      <c r="I143" s="467">
        <f t="shared" si="157"/>
        <v>5071271.84</v>
      </c>
      <c r="J143" s="467">
        <v>200000</v>
      </c>
      <c r="K143" s="467">
        <v>0.2</v>
      </c>
      <c r="L143" s="467">
        <f t="shared" si="158"/>
        <v>1014254.368</v>
      </c>
      <c r="M143" s="467">
        <f t="shared" si="159"/>
        <v>1214254.368</v>
      </c>
      <c r="N143" s="467">
        <f t="shared" si="160"/>
        <v>1652556.528</v>
      </c>
      <c r="O143" s="467">
        <f t="shared" si="161"/>
        <v>3857017.472</v>
      </c>
      <c r="P143" s="467">
        <f t="shared" si="162"/>
        <v>21000</v>
      </c>
      <c r="Q143" s="467">
        <f t="shared" si="163"/>
        <v>33000</v>
      </c>
      <c r="R143" s="467">
        <f t="shared" si="164"/>
        <v>75000</v>
      </c>
      <c r="S143" s="467">
        <f t="shared" si="165"/>
        <v>95000</v>
      </c>
      <c r="T143" s="467">
        <f t="shared" si="166"/>
        <v>336000</v>
      </c>
      <c r="U143" s="467">
        <f t="shared" si="172"/>
        <v>157684.193280001</v>
      </c>
      <c r="V143" s="467">
        <f t="shared" si="168"/>
        <v>717684.193280001</v>
      </c>
      <c r="W143" s="474">
        <v>12</v>
      </c>
      <c r="X143" s="467">
        <f t="shared" si="169"/>
        <v>59807.0161066667</v>
      </c>
      <c r="Y143" s="470"/>
      <c r="Z143" s="929">
        <f t="shared" si="170"/>
        <v>59807.0161066667</v>
      </c>
      <c r="AA143" s="806">
        <v>44990.4825066667</v>
      </c>
      <c r="AB143" s="806">
        <f t="shared" si="171"/>
        <v>14816.5336</v>
      </c>
      <c r="AC143" s="479"/>
      <c r="AD143" s="479"/>
      <c r="AE143" s="479"/>
    </row>
    <row r="144" ht="15.5" spans="1:31">
      <c r="A144" s="464">
        <v>128</v>
      </c>
      <c r="B144" s="643" t="s">
        <v>332</v>
      </c>
      <c r="C144" s="467">
        <v>415320.666666667</v>
      </c>
      <c r="D144" s="466">
        <v>12</v>
      </c>
      <c r="E144" s="467">
        <f t="shared" si="156"/>
        <v>4983848</v>
      </c>
      <c r="F144" s="467"/>
      <c r="G144" s="468">
        <v>341107.840000001</v>
      </c>
      <c r="H144" s="470"/>
      <c r="I144" s="467">
        <f t="shared" si="157"/>
        <v>4642740.16</v>
      </c>
      <c r="J144" s="467">
        <v>200000</v>
      </c>
      <c r="K144" s="467">
        <v>0.2</v>
      </c>
      <c r="L144" s="467">
        <f t="shared" si="158"/>
        <v>928548.032000001</v>
      </c>
      <c r="M144" s="467">
        <f t="shared" si="159"/>
        <v>1128548.032</v>
      </c>
      <c r="N144" s="467">
        <f t="shared" si="160"/>
        <v>1469655.872</v>
      </c>
      <c r="O144" s="467">
        <f t="shared" si="161"/>
        <v>3514192.128</v>
      </c>
      <c r="P144" s="467">
        <f t="shared" si="162"/>
        <v>21000</v>
      </c>
      <c r="Q144" s="467">
        <f t="shared" si="163"/>
        <v>33000</v>
      </c>
      <c r="R144" s="467">
        <f t="shared" si="164"/>
        <v>75000</v>
      </c>
      <c r="S144" s="467">
        <f t="shared" si="165"/>
        <v>95000</v>
      </c>
      <c r="T144" s="467">
        <f t="shared" si="166"/>
        <v>336000</v>
      </c>
      <c r="U144" s="467">
        <f t="shared" si="172"/>
        <v>75406.1107200006</v>
      </c>
      <c r="V144" s="467">
        <f t="shared" si="168"/>
        <v>635406.110720001</v>
      </c>
      <c r="W144" s="474">
        <v>12</v>
      </c>
      <c r="X144" s="467">
        <f t="shared" si="169"/>
        <v>52950.5092266667</v>
      </c>
      <c r="Y144" s="470"/>
      <c r="Z144" s="929">
        <f t="shared" si="170"/>
        <v>52950.5092266667</v>
      </c>
      <c r="AA144" s="806">
        <v>39052.3130666667</v>
      </c>
      <c r="AB144" s="806">
        <f t="shared" si="171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334</v>
      </c>
      <c r="C145" s="467">
        <v>459131.166666667</v>
      </c>
      <c r="D145" s="466">
        <v>12</v>
      </c>
      <c r="E145" s="467">
        <f t="shared" si="156"/>
        <v>5509574</v>
      </c>
      <c r="F145" s="467">
        <v>92670.45</v>
      </c>
      <c r="G145" s="468">
        <v>438302.16</v>
      </c>
      <c r="H145" s="470"/>
      <c r="I145" s="467">
        <f t="shared" si="157"/>
        <v>4978601.39</v>
      </c>
      <c r="J145" s="467">
        <v>200000</v>
      </c>
      <c r="K145" s="467">
        <v>0.2</v>
      </c>
      <c r="L145" s="467">
        <f t="shared" si="158"/>
        <v>995720.278000001</v>
      </c>
      <c r="M145" s="467">
        <f t="shared" si="159"/>
        <v>1195720.278</v>
      </c>
      <c r="N145" s="467">
        <f t="shared" si="160"/>
        <v>1726692.888</v>
      </c>
      <c r="O145" s="467">
        <f t="shared" si="161"/>
        <v>3782881.112</v>
      </c>
      <c r="P145" s="467">
        <f t="shared" si="162"/>
        <v>21000</v>
      </c>
      <c r="Q145" s="467">
        <f t="shared" si="163"/>
        <v>33000</v>
      </c>
      <c r="R145" s="467">
        <f t="shared" si="164"/>
        <v>75000</v>
      </c>
      <c r="S145" s="467">
        <f t="shared" si="165"/>
        <v>95000</v>
      </c>
      <c r="T145" s="467">
        <f t="shared" si="166"/>
        <v>336000</v>
      </c>
      <c r="U145" s="467">
        <f t="shared" si="172"/>
        <v>139891.466880001</v>
      </c>
      <c r="V145" s="467">
        <f t="shared" si="168"/>
        <v>699891.466880001</v>
      </c>
      <c r="W145" s="474">
        <v>12</v>
      </c>
      <c r="X145" s="467">
        <f t="shared" si="169"/>
        <v>58324.2889066667</v>
      </c>
      <c r="Y145" s="470"/>
      <c r="Z145" s="929">
        <f t="shared" si="170"/>
        <v>58324.2889066667</v>
      </c>
      <c r="AA145" s="806">
        <v>44913.6996186667</v>
      </c>
      <c r="AB145" s="806">
        <f t="shared" si="171"/>
        <v>13410.589288</v>
      </c>
      <c r="AC145" s="479"/>
      <c r="AD145" s="479"/>
      <c r="AE145" s="479"/>
    </row>
    <row r="146" ht="15.5" spans="1:31">
      <c r="A146" s="464">
        <v>130</v>
      </c>
      <c r="B146" s="643" t="s">
        <v>335</v>
      </c>
      <c r="C146" s="467">
        <v>415320.666666667</v>
      </c>
      <c r="D146" s="466">
        <v>12</v>
      </c>
      <c r="E146" s="467">
        <f t="shared" si="156"/>
        <v>4983848</v>
      </c>
      <c r="F146" s="467"/>
      <c r="G146" s="468">
        <v>341107.840000001</v>
      </c>
      <c r="H146" s="470"/>
      <c r="I146" s="467">
        <f t="shared" si="157"/>
        <v>4642740.16</v>
      </c>
      <c r="J146" s="467">
        <v>200000</v>
      </c>
      <c r="K146" s="467">
        <v>0.2</v>
      </c>
      <c r="L146" s="467">
        <f t="shared" si="158"/>
        <v>928548.032000001</v>
      </c>
      <c r="M146" s="467">
        <f t="shared" si="159"/>
        <v>1128548.032</v>
      </c>
      <c r="N146" s="467">
        <f t="shared" si="160"/>
        <v>1469655.872</v>
      </c>
      <c r="O146" s="467">
        <f t="shared" si="161"/>
        <v>3514192.128</v>
      </c>
      <c r="P146" s="467">
        <f t="shared" si="162"/>
        <v>21000</v>
      </c>
      <c r="Q146" s="467">
        <f t="shared" si="163"/>
        <v>33000</v>
      </c>
      <c r="R146" s="467">
        <f t="shared" si="164"/>
        <v>75000</v>
      </c>
      <c r="S146" s="467">
        <f t="shared" si="165"/>
        <v>95000</v>
      </c>
      <c r="T146" s="467">
        <f t="shared" si="166"/>
        <v>336000</v>
      </c>
      <c r="U146" s="467">
        <f t="shared" si="172"/>
        <v>75406.1107200006</v>
      </c>
      <c r="V146" s="467">
        <f t="shared" si="168"/>
        <v>635406.110720001</v>
      </c>
      <c r="W146" s="474">
        <v>12</v>
      </c>
      <c r="X146" s="467">
        <f t="shared" si="169"/>
        <v>52950.5092266667</v>
      </c>
      <c r="Y146" s="470"/>
      <c r="Z146" s="929">
        <f t="shared" si="170"/>
        <v>52950.5092266667</v>
      </c>
      <c r="AA146" s="806">
        <v>39052.3130666667</v>
      </c>
      <c r="AB146" s="806">
        <f t="shared" si="171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337</v>
      </c>
      <c r="C147" s="467">
        <v>398711.666666667</v>
      </c>
      <c r="D147" s="466">
        <v>12</v>
      </c>
      <c r="E147" s="467">
        <f t="shared" si="156"/>
        <v>4784540</v>
      </c>
      <c r="F147" s="467"/>
      <c r="G147" s="468">
        <v>325163.200000001</v>
      </c>
      <c r="H147" s="470"/>
      <c r="I147" s="467">
        <f t="shared" si="157"/>
        <v>4459376.8</v>
      </c>
      <c r="J147" s="467">
        <v>200000</v>
      </c>
      <c r="K147" s="467">
        <v>0.2</v>
      </c>
      <c r="L147" s="467">
        <f t="shared" si="158"/>
        <v>891875.360000001</v>
      </c>
      <c r="M147" s="467">
        <f t="shared" si="159"/>
        <v>1091875.36</v>
      </c>
      <c r="N147" s="467">
        <f t="shared" si="160"/>
        <v>1417038.56</v>
      </c>
      <c r="O147" s="467">
        <f t="shared" si="161"/>
        <v>3367501.44</v>
      </c>
      <c r="P147" s="467">
        <f t="shared" si="162"/>
        <v>21000</v>
      </c>
      <c r="Q147" s="467">
        <f t="shared" si="163"/>
        <v>33000</v>
      </c>
      <c r="R147" s="467">
        <f t="shared" si="164"/>
        <v>75000</v>
      </c>
      <c r="S147" s="467">
        <f t="shared" si="165"/>
        <v>95000</v>
      </c>
      <c r="T147" s="467">
        <f t="shared" si="166"/>
        <v>336000</v>
      </c>
      <c r="U147" s="467">
        <f t="shared" si="172"/>
        <v>40200.3456000005</v>
      </c>
      <c r="V147" s="467">
        <f t="shared" si="168"/>
        <v>600200.345600001</v>
      </c>
      <c r="W147" s="474">
        <v>12</v>
      </c>
      <c r="X147" s="467">
        <f t="shared" si="169"/>
        <v>50016.6954666667</v>
      </c>
      <c r="Y147" s="470"/>
      <c r="Z147" s="929">
        <f t="shared" si="170"/>
        <v>50016.6954666667</v>
      </c>
      <c r="AA147" s="806">
        <v>36790.6881066667</v>
      </c>
      <c r="AB147" s="806">
        <f t="shared" si="171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339</v>
      </c>
      <c r="C148" s="467">
        <v>398711.666666667</v>
      </c>
      <c r="D148" s="466">
        <v>12</v>
      </c>
      <c r="E148" s="467">
        <f t="shared" si="156"/>
        <v>4784540</v>
      </c>
      <c r="F148" s="467"/>
      <c r="G148" s="468">
        <v>325163.200000001</v>
      </c>
      <c r="H148" s="470"/>
      <c r="I148" s="467">
        <f t="shared" si="157"/>
        <v>4459376.8</v>
      </c>
      <c r="J148" s="467">
        <v>200000</v>
      </c>
      <c r="K148" s="467">
        <v>0.2</v>
      </c>
      <c r="L148" s="467">
        <f t="shared" si="158"/>
        <v>891875.360000001</v>
      </c>
      <c r="M148" s="467">
        <f t="shared" si="159"/>
        <v>1091875.36</v>
      </c>
      <c r="N148" s="467">
        <f t="shared" si="160"/>
        <v>1417038.56</v>
      </c>
      <c r="O148" s="467">
        <f t="shared" si="161"/>
        <v>3367501.44</v>
      </c>
      <c r="P148" s="467">
        <f t="shared" si="162"/>
        <v>21000</v>
      </c>
      <c r="Q148" s="467">
        <f t="shared" si="163"/>
        <v>33000</v>
      </c>
      <c r="R148" s="467">
        <f t="shared" si="164"/>
        <v>75000</v>
      </c>
      <c r="S148" s="467">
        <f t="shared" si="165"/>
        <v>95000</v>
      </c>
      <c r="T148" s="467">
        <f t="shared" si="166"/>
        <v>336000</v>
      </c>
      <c r="U148" s="467">
        <f t="shared" si="172"/>
        <v>40200.3456000005</v>
      </c>
      <c r="V148" s="467">
        <f t="shared" si="168"/>
        <v>600200.345600001</v>
      </c>
      <c r="W148" s="474">
        <v>12</v>
      </c>
      <c r="X148" s="467">
        <f t="shared" si="169"/>
        <v>50016.6954666667</v>
      </c>
      <c r="Y148" s="470"/>
      <c r="Z148" s="929">
        <f t="shared" si="170"/>
        <v>50016.6954666667</v>
      </c>
      <c r="AA148" s="806">
        <v>35110.6881066667</v>
      </c>
      <c r="AB148" s="806">
        <f t="shared" si="171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345</v>
      </c>
      <c r="C149" s="467">
        <v>351910.75</v>
      </c>
      <c r="D149" s="466">
        <v>12</v>
      </c>
      <c r="E149" s="467">
        <f t="shared" si="156"/>
        <v>4222929</v>
      </c>
      <c r="F149" s="467"/>
      <c r="G149" s="468">
        <v>289834.32</v>
      </c>
      <c r="H149" s="470"/>
      <c r="I149" s="467">
        <f t="shared" si="157"/>
        <v>3933094.68</v>
      </c>
      <c r="J149" s="467">
        <v>200000</v>
      </c>
      <c r="K149" s="467">
        <v>0.2</v>
      </c>
      <c r="L149" s="467">
        <f t="shared" si="158"/>
        <v>786618.936</v>
      </c>
      <c r="M149" s="467">
        <f t="shared" si="159"/>
        <v>986618.936</v>
      </c>
      <c r="N149" s="467">
        <f t="shared" si="160"/>
        <v>1276453.256</v>
      </c>
      <c r="O149" s="467">
        <f t="shared" si="161"/>
        <v>2946475.744</v>
      </c>
      <c r="P149" s="467">
        <f t="shared" si="162"/>
        <v>21000</v>
      </c>
      <c r="Q149" s="467">
        <f t="shared" si="163"/>
        <v>33000</v>
      </c>
      <c r="R149" s="467">
        <f t="shared" si="164"/>
        <v>75000</v>
      </c>
      <c r="S149" s="467">
        <f t="shared" si="165"/>
        <v>95000</v>
      </c>
      <c r="T149" s="467">
        <f t="shared" si="166"/>
        <v>282759.90624</v>
      </c>
      <c r="U149" s="467"/>
      <c r="V149" s="467">
        <f t="shared" si="168"/>
        <v>506759.90624</v>
      </c>
      <c r="W149" s="474">
        <v>12</v>
      </c>
      <c r="X149" s="467">
        <f t="shared" si="169"/>
        <v>42229.9921866667</v>
      </c>
      <c r="Y149" s="470"/>
      <c r="Z149" s="929">
        <f t="shared" si="170"/>
        <v>42229.9921866667</v>
      </c>
      <c r="AA149" s="806">
        <v>30259.1656266667</v>
      </c>
      <c r="AB149" s="806">
        <f t="shared" si="171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347</v>
      </c>
      <c r="C150" s="467">
        <v>351910.75</v>
      </c>
      <c r="D150" s="466">
        <v>12</v>
      </c>
      <c r="E150" s="467">
        <f t="shared" si="156"/>
        <v>4222929</v>
      </c>
      <c r="F150" s="467"/>
      <c r="G150" s="468">
        <v>289834.32</v>
      </c>
      <c r="H150" s="470"/>
      <c r="I150" s="467">
        <f t="shared" si="157"/>
        <v>3933094.68</v>
      </c>
      <c r="J150" s="467">
        <v>200000</v>
      </c>
      <c r="K150" s="467">
        <v>0.2</v>
      </c>
      <c r="L150" s="467">
        <f t="shared" si="158"/>
        <v>786618.936</v>
      </c>
      <c r="M150" s="467">
        <f t="shared" si="159"/>
        <v>986618.936</v>
      </c>
      <c r="N150" s="467">
        <f t="shared" si="160"/>
        <v>1276453.256</v>
      </c>
      <c r="O150" s="467">
        <f t="shared" si="161"/>
        <v>2946475.744</v>
      </c>
      <c r="P150" s="467">
        <f t="shared" si="162"/>
        <v>21000</v>
      </c>
      <c r="Q150" s="467">
        <f t="shared" si="163"/>
        <v>33000</v>
      </c>
      <c r="R150" s="467">
        <f t="shared" si="164"/>
        <v>75000</v>
      </c>
      <c r="S150" s="467">
        <f t="shared" si="165"/>
        <v>95000</v>
      </c>
      <c r="T150" s="467">
        <f t="shared" si="166"/>
        <v>282759.90624</v>
      </c>
      <c r="U150" s="467"/>
      <c r="V150" s="467">
        <f t="shared" si="168"/>
        <v>506759.90624</v>
      </c>
      <c r="W150" s="474">
        <v>12</v>
      </c>
      <c r="X150" s="467">
        <f t="shared" si="169"/>
        <v>42229.9921866667</v>
      </c>
      <c r="Y150" s="470"/>
      <c r="Z150" s="929">
        <f t="shared" si="170"/>
        <v>42229.9921866667</v>
      </c>
      <c r="AA150" s="806">
        <v>30259.1656266667</v>
      </c>
      <c r="AB150" s="806">
        <f t="shared" si="171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349</v>
      </c>
      <c r="C151" s="467">
        <v>351910.75</v>
      </c>
      <c r="D151" s="466">
        <v>12</v>
      </c>
      <c r="E151" s="467">
        <f t="shared" si="156"/>
        <v>4222929</v>
      </c>
      <c r="F151" s="467"/>
      <c r="G151" s="468">
        <v>289834.32</v>
      </c>
      <c r="H151" s="470"/>
      <c r="I151" s="467">
        <f t="shared" si="157"/>
        <v>3933094.68</v>
      </c>
      <c r="J151" s="467">
        <v>200000</v>
      </c>
      <c r="K151" s="467">
        <v>0.2</v>
      </c>
      <c r="L151" s="467">
        <f t="shared" si="158"/>
        <v>786618.936</v>
      </c>
      <c r="M151" s="467">
        <f t="shared" si="159"/>
        <v>986618.936</v>
      </c>
      <c r="N151" s="467">
        <f t="shared" si="160"/>
        <v>1276453.256</v>
      </c>
      <c r="O151" s="467">
        <f t="shared" si="161"/>
        <v>2946475.744</v>
      </c>
      <c r="P151" s="467">
        <f t="shared" si="162"/>
        <v>21000</v>
      </c>
      <c r="Q151" s="467">
        <f t="shared" si="163"/>
        <v>33000</v>
      </c>
      <c r="R151" s="467">
        <f t="shared" si="164"/>
        <v>75000</v>
      </c>
      <c r="S151" s="467">
        <f t="shared" si="165"/>
        <v>95000</v>
      </c>
      <c r="T151" s="467">
        <f t="shared" si="166"/>
        <v>282759.90624</v>
      </c>
      <c r="U151" s="467"/>
      <c r="V151" s="467">
        <f t="shared" si="168"/>
        <v>506759.90624</v>
      </c>
      <c r="W151" s="474">
        <v>12</v>
      </c>
      <c r="X151" s="467">
        <f t="shared" si="169"/>
        <v>42229.9921866667</v>
      </c>
      <c r="Y151" s="470"/>
      <c r="Z151" s="929">
        <f t="shared" si="170"/>
        <v>42229.9921866667</v>
      </c>
      <c r="AA151" s="806">
        <v>30259.1656266667</v>
      </c>
      <c r="AB151" s="806">
        <f t="shared" si="171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351</v>
      </c>
      <c r="C152" s="467">
        <v>358920.666666667</v>
      </c>
      <c r="D152" s="466">
        <v>12</v>
      </c>
      <c r="E152" s="467">
        <f t="shared" si="156"/>
        <v>4307048</v>
      </c>
      <c r="F152" s="467"/>
      <c r="G152" s="468">
        <v>296563.840000001</v>
      </c>
      <c r="H152" s="470"/>
      <c r="I152" s="467">
        <f t="shared" si="157"/>
        <v>4010484.16</v>
      </c>
      <c r="J152" s="467">
        <v>200000</v>
      </c>
      <c r="K152" s="467">
        <v>0.2</v>
      </c>
      <c r="L152" s="467">
        <f t="shared" si="158"/>
        <v>802096.832000001</v>
      </c>
      <c r="M152" s="467">
        <f t="shared" si="159"/>
        <v>1002096.832</v>
      </c>
      <c r="N152" s="467">
        <f t="shared" si="160"/>
        <v>1298660.672</v>
      </c>
      <c r="O152" s="467">
        <f t="shared" si="161"/>
        <v>3008387.328</v>
      </c>
      <c r="P152" s="467">
        <f t="shared" si="162"/>
        <v>21000</v>
      </c>
      <c r="Q152" s="467">
        <f t="shared" si="163"/>
        <v>33000</v>
      </c>
      <c r="R152" s="467">
        <f t="shared" si="164"/>
        <v>75000</v>
      </c>
      <c r="S152" s="467">
        <f t="shared" si="165"/>
        <v>95000</v>
      </c>
      <c r="T152" s="467">
        <f t="shared" si="166"/>
        <v>295761.33888</v>
      </c>
      <c r="U152" s="467"/>
      <c r="V152" s="467">
        <f t="shared" si="168"/>
        <v>519761.33888</v>
      </c>
      <c r="W152" s="474">
        <v>12</v>
      </c>
      <c r="X152" s="467">
        <f t="shared" si="169"/>
        <v>43313.4449066667</v>
      </c>
      <c r="Y152" s="470"/>
      <c r="Z152" s="929">
        <f t="shared" si="170"/>
        <v>43313.4449066667</v>
      </c>
      <c r="AA152" s="806">
        <v>31213.1357066667</v>
      </c>
      <c r="AB152" s="806">
        <f t="shared" si="171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352</v>
      </c>
      <c r="C153" s="467">
        <v>351910.75</v>
      </c>
      <c r="D153" s="466">
        <v>12</v>
      </c>
      <c r="E153" s="467">
        <f t="shared" si="156"/>
        <v>4222929</v>
      </c>
      <c r="F153" s="467"/>
      <c r="G153" s="468">
        <v>289834.32</v>
      </c>
      <c r="H153" s="470"/>
      <c r="I153" s="467">
        <f t="shared" si="157"/>
        <v>3933094.68</v>
      </c>
      <c r="J153" s="467">
        <v>200000</v>
      </c>
      <c r="K153" s="467">
        <v>0.2</v>
      </c>
      <c r="L153" s="467">
        <f t="shared" si="158"/>
        <v>786618.936</v>
      </c>
      <c r="M153" s="467">
        <f t="shared" si="159"/>
        <v>986618.936</v>
      </c>
      <c r="N153" s="467">
        <f t="shared" si="160"/>
        <v>1276453.256</v>
      </c>
      <c r="O153" s="467">
        <f t="shared" si="161"/>
        <v>2946475.744</v>
      </c>
      <c r="P153" s="467">
        <f t="shared" si="162"/>
        <v>21000</v>
      </c>
      <c r="Q153" s="467">
        <f t="shared" si="163"/>
        <v>33000</v>
      </c>
      <c r="R153" s="467">
        <f t="shared" si="164"/>
        <v>75000</v>
      </c>
      <c r="S153" s="467">
        <f t="shared" si="165"/>
        <v>95000</v>
      </c>
      <c r="T153" s="467">
        <f t="shared" si="166"/>
        <v>282759.90624</v>
      </c>
      <c r="U153" s="467"/>
      <c r="V153" s="467">
        <f t="shared" si="168"/>
        <v>506759.90624</v>
      </c>
      <c r="W153" s="474">
        <v>12</v>
      </c>
      <c r="X153" s="467">
        <f t="shared" si="169"/>
        <v>42229.9921866667</v>
      </c>
      <c r="Y153" s="470"/>
      <c r="Z153" s="929">
        <f t="shared" si="170"/>
        <v>42229.9921866667</v>
      </c>
      <c r="AA153" s="806">
        <v>30259.1656266667</v>
      </c>
      <c r="AB153" s="806">
        <f t="shared" si="171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353</v>
      </c>
      <c r="C154" s="467">
        <v>360647.920777778</v>
      </c>
      <c r="D154" s="466">
        <v>12</v>
      </c>
      <c r="E154" s="467">
        <f t="shared" si="156"/>
        <v>4327775.04933334</v>
      </c>
      <c r="F154" s="467"/>
      <c r="G154" s="468">
        <v>283104.8</v>
      </c>
      <c r="H154" s="470"/>
      <c r="I154" s="467">
        <f t="shared" si="157"/>
        <v>4044670.24933334</v>
      </c>
      <c r="J154" s="467">
        <v>200000</v>
      </c>
      <c r="K154" s="467">
        <v>0.2</v>
      </c>
      <c r="L154" s="467">
        <f t="shared" si="158"/>
        <v>808934.049866667</v>
      </c>
      <c r="M154" s="467">
        <f t="shared" si="159"/>
        <v>1008934.04986667</v>
      </c>
      <c r="N154" s="467">
        <f t="shared" si="160"/>
        <v>1292038.84986667</v>
      </c>
      <c r="O154" s="467">
        <f t="shared" si="161"/>
        <v>3035736.19946667</v>
      </c>
      <c r="P154" s="467">
        <f t="shared" si="162"/>
        <v>21000</v>
      </c>
      <c r="Q154" s="467">
        <f t="shared" si="163"/>
        <v>33000</v>
      </c>
      <c r="R154" s="467">
        <f t="shared" si="164"/>
        <v>75000</v>
      </c>
      <c r="S154" s="467">
        <f t="shared" si="165"/>
        <v>95000</v>
      </c>
      <c r="T154" s="467">
        <f t="shared" si="166"/>
        <v>301504.601888</v>
      </c>
      <c r="U154" s="467"/>
      <c r="V154" s="467">
        <f t="shared" si="168"/>
        <v>525504.601888</v>
      </c>
      <c r="W154" s="474">
        <v>12</v>
      </c>
      <c r="X154" s="467">
        <f t="shared" si="169"/>
        <v>43792.0501573334</v>
      </c>
      <c r="Y154" s="470"/>
      <c r="Z154" s="929">
        <f t="shared" si="170"/>
        <v>43792.0501573334</v>
      </c>
      <c r="AA154" s="806">
        <v>29305.1955466666</v>
      </c>
      <c r="AB154" s="806">
        <f t="shared" si="171"/>
        <v>14486.8546106668</v>
      </c>
      <c r="AC154" s="479"/>
      <c r="AD154" s="479"/>
      <c r="AE154" s="479"/>
    </row>
    <row r="155" ht="15.5" spans="1:31">
      <c r="A155" s="464">
        <v>139</v>
      </c>
      <c r="B155" s="351" t="s">
        <v>355</v>
      </c>
      <c r="C155" s="467">
        <v>344900.833333334</v>
      </c>
      <c r="D155" s="466">
        <v>12</v>
      </c>
      <c r="E155" s="467">
        <f t="shared" si="156"/>
        <v>4138810.00000001</v>
      </c>
      <c r="F155" s="467"/>
      <c r="G155" s="468">
        <v>283104.8</v>
      </c>
      <c r="H155" s="470"/>
      <c r="I155" s="467">
        <f t="shared" si="157"/>
        <v>3855705.20000001</v>
      </c>
      <c r="J155" s="467">
        <v>200000</v>
      </c>
      <c r="K155" s="467">
        <v>0.2</v>
      </c>
      <c r="L155" s="467">
        <f t="shared" si="158"/>
        <v>771141.040000002</v>
      </c>
      <c r="M155" s="467">
        <f t="shared" si="159"/>
        <v>971141.040000002</v>
      </c>
      <c r="N155" s="467">
        <f t="shared" si="160"/>
        <v>1254245.84</v>
      </c>
      <c r="O155" s="467">
        <f t="shared" si="161"/>
        <v>2884564.16000001</v>
      </c>
      <c r="P155" s="467">
        <f t="shared" si="162"/>
        <v>21000</v>
      </c>
      <c r="Q155" s="467">
        <f t="shared" si="163"/>
        <v>33000</v>
      </c>
      <c r="R155" s="467">
        <f t="shared" si="164"/>
        <v>75000</v>
      </c>
      <c r="S155" s="467">
        <f t="shared" si="165"/>
        <v>95000</v>
      </c>
      <c r="T155" s="467">
        <f t="shared" si="166"/>
        <v>269758.473600001</v>
      </c>
      <c r="U155" s="467"/>
      <c r="V155" s="467">
        <f t="shared" si="168"/>
        <v>493758.473600001</v>
      </c>
      <c r="W155" s="474">
        <v>12</v>
      </c>
      <c r="X155" s="467">
        <f t="shared" si="169"/>
        <v>41146.5394666668</v>
      </c>
      <c r="Y155" s="470"/>
      <c r="Z155" s="929">
        <f t="shared" si="170"/>
        <v>41146.5394666668</v>
      </c>
      <c r="AA155" s="806">
        <v>29305.1955466666</v>
      </c>
      <c r="AB155" s="806">
        <f t="shared" si="171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361</v>
      </c>
      <c r="C156" s="467">
        <v>271717.166666666</v>
      </c>
      <c r="D156" s="466">
        <v>12</v>
      </c>
      <c r="E156" s="467">
        <f t="shared" si="156"/>
        <v>3260605.99999999</v>
      </c>
      <c r="F156" s="467">
        <v>47786.5749999999</v>
      </c>
      <c r="G156" s="468">
        <v>228208.48</v>
      </c>
      <c r="H156" s="470"/>
      <c r="I156" s="467">
        <f t="shared" si="157"/>
        <v>2984610.94499999</v>
      </c>
      <c r="J156" s="467">
        <v>200000</v>
      </c>
      <c r="K156" s="467">
        <v>0.2</v>
      </c>
      <c r="L156" s="467">
        <f t="shared" si="158"/>
        <v>596922.188999998</v>
      </c>
      <c r="M156" s="467">
        <f t="shared" si="159"/>
        <v>796922.188999998</v>
      </c>
      <c r="N156" s="467">
        <f t="shared" si="160"/>
        <v>1072917.244</v>
      </c>
      <c r="O156" s="467">
        <f t="shared" si="161"/>
        <v>2187688.75599999</v>
      </c>
      <c r="P156" s="467">
        <f t="shared" si="162"/>
        <v>21000</v>
      </c>
      <c r="Q156" s="467">
        <f t="shared" si="163"/>
        <v>33000</v>
      </c>
      <c r="R156" s="467">
        <f t="shared" si="164"/>
        <v>75000</v>
      </c>
      <c r="S156" s="467">
        <f t="shared" si="165"/>
        <v>95000</v>
      </c>
      <c r="T156" s="467">
        <f t="shared" si="166"/>
        <v>123414.638759999</v>
      </c>
      <c r="U156" s="467"/>
      <c r="V156" s="467">
        <f t="shared" si="168"/>
        <v>347414.638759999</v>
      </c>
      <c r="W156" s="474">
        <v>12</v>
      </c>
      <c r="X156" s="467">
        <f t="shared" si="169"/>
        <v>28951.2198966665</v>
      </c>
      <c r="Y156" s="470"/>
      <c r="Z156" s="929">
        <f t="shared" si="170"/>
        <v>28951.2198966665</v>
      </c>
      <c r="AA156" s="806">
        <v>18892.9833866667</v>
      </c>
      <c r="AB156" s="806">
        <f t="shared" si="171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364</v>
      </c>
      <c r="C157" s="467">
        <v>274717.166666666</v>
      </c>
      <c r="D157" s="466">
        <v>12</v>
      </c>
      <c r="E157" s="467">
        <f t="shared" si="156"/>
        <v>3296605.99999999</v>
      </c>
      <c r="F157" s="467"/>
      <c r="G157" s="468">
        <v>228208.48</v>
      </c>
      <c r="H157" s="470"/>
      <c r="I157" s="467">
        <f t="shared" si="157"/>
        <v>3068397.51999999</v>
      </c>
      <c r="J157" s="467">
        <v>200000</v>
      </c>
      <c r="K157" s="467">
        <v>0.2</v>
      </c>
      <c r="L157" s="467">
        <f t="shared" si="158"/>
        <v>613679.503999998</v>
      </c>
      <c r="M157" s="467">
        <f t="shared" si="159"/>
        <v>813679.503999998</v>
      </c>
      <c r="N157" s="467">
        <f t="shared" si="160"/>
        <v>1041887.984</v>
      </c>
      <c r="O157" s="467">
        <f t="shared" si="161"/>
        <v>2254718.01599999</v>
      </c>
      <c r="P157" s="467">
        <f t="shared" si="162"/>
        <v>21000</v>
      </c>
      <c r="Q157" s="467">
        <f t="shared" si="163"/>
        <v>33000</v>
      </c>
      <c r="R157" s="467">
        <f t="shared" si="164"/>
        <v>75000</v>
      </c>
      <c r="S157" s="467">
        <f t="shared" si="165"/>
        <v>95000</v>
      </c>
      <c r="T157" s="467">
        <f t="shared" si="166"/>
        <v>137490.783359999</v>
      </c>
      <c r="U157" s="467"/>
      <c r="V157" s="467">
        <f t="shared" si="168"/>
        <v>361490.783359999</v>
      </c>
      <c r="W157" s="474">
        <v>12</v>
      </c>
      <c r="X157" s="467">
        <f t="shared" si="169"/>
        <v>30124.2319466666</v>
      </c>
      <c r="Y157" s="470"/>
      <c r="Z157" s="929">
        <f t="shared" si="170"/>
        <v>30124.2319466666</v>
      </c>
      <c r="AA157" s="806">
        <v>19441.1993066667</v>
      </c>
      <c r="AB157" s="806">
        <f t="shared" si="171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570</v>
      </c>
      <c r="C158" s="467">
        <v>271717.166666666</v>
      </c>
      <c r="D158" s="466">
        <v>12</v>
      </c>
      <c r="E158" s="467">
        <f t="shared" si="156"/>
        <v>3260605.99999999</v>
      </c>
      <c r="F158" s="467"/>
      <c r="G158" s="468">
        <v>228208.48</v>
      </c>
      <c r="H158" s="470"/>
      <c r="I158" s="467">
        <f t="shared" si="157"/>
        <v>3032397.51999999</v>
      </c>
      <c r="J158" s="467">
        <v>200000</v>
      </c>
      <c r="K158" s="467">
        <v>0.2</v>
      </c>
      <c r="L158" s="467">
        <f t="shared" si="158"/>
        <v>606479.503999998</v>
      </c>
      <c r="M158" s="467">
        <f t="shared" si="159"/>
        <v>806479.503999998</v>
      </c>
      <c r="N158" s="467">
        <f t="shared" si="160"/>
        <v>1034687.984</v>
      </c>
      <c r="O158" s="467">
        <f t="shared" si="161"/>
        <v>2225918.01599999</v>
      </c>
      <c r="P158" s="467">
        <f t="shared" si="162"/>
        <v>21000</v>
      </c>
      <c r="Q158" s="467">
        <f t="shared" si="163"/>
        <v>33000</v>
      </c>
      <c r="R158" s="467">
        <f t="shared" si="164"/>
        <v>75000</v>
      </c>
      <c r="S158" s="467">
        <f t="shared" si="165"/>
        <v>95000</v>
      </c>
      <c r="T158" s="467">
        <f t="shared" si="166"/>
        <v>131442.783359999</v>
      </c>
      <c r="U158" s="467"/>
      <c r="V158" s="467">
        <f t="shared" si="168"/>
        <v>355442.783359999</v>
      </c>
      <c r="W158" s="474">
        <v>12</v>
      </c>
      <c r="X158" s="467">
        <f t="shared" si="169"/>
        <v>29620.2319466666</v>
      </c>
      <c r="Y158" s="470"/>
      <c r="Z158" s="929">
        <f t="shared" si="170"/>
        <v>29620.2319466666</v>
      </c>
      <c r="AA158" s="806">
        <v>18937.1993066667</v>
      </c>
      <c r="AB158" s="806">
        <f t="shared" si="171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365</v>
      </c>
      <c r="C159" s="467">
        <v>271717.166666666</v>
      </c>
      <c r="D159" s="466">
        <v>12</v>
      </c>
      <c r="E159" s="467">
        <f t="shared" si="156"/>
        <v>3260605.99999999</v>
      </c>
      <c r="F159" s="467">
        <v>47786.5749999999</v>
      </c>
      <c r="G159" s="468">
        <v>228208.48</v>
      </c>
      <c r="H159" s="470"/>
      <c r="I159" s="467">
        <f t="shared" si="157"/>
        <v>2984610.94499999</v>
      </c>
      <c r="J159" s="467">
        <v>200000</v>
      </c>
      <c r="K159" s="467">
        <v>0.2</v>
      </c>
      <c r="L159" s="467">
        <f t="shared" si="158"/>
        <v>596922.188999998</v>
      </c>
      <c r="M159" s="467">
        <f t="shared" si="159"/>
        <v>796922.188999998</v>
      </c>
      <c r="N159" s="467">
        <f t="shared" si="160"/>
        <v>1072917.244</v>
      </c>
      <c r="O159" s="467">
        <f t="shared" si="161"/>
        <v>2187688.75599999</v>
      </c>
      <c r="P159" s="467">
        <f t="shared" si="162"/>
        <v>21000</v>
      </c>
      <c r="Q159" s="467">
        <f t="shared" si="163"/>
        <v>33000</v>
      </c>
      <c r="R159" s="467">
        <f t="shared" si="164"/>
        <v>75000</v>
      </c>
      <c r="S159" s="467">
        <f t="shared" si="165"/>
        <v>95000</v>
      </c>
      <c r="T159" s="467">
        <f t="shared" si="166"/>
        <v>123414.638759999</v>
      </c>
      <c r="U159" s="467"/>
      <c r="V159" s="467">
        <f t="shared" si="168"/>
        <v>347414.638759999</v>
      </c>
      <c r="W159" s="474">
        <v>12</v>
      </c>
      <c r="X159" s="467">
        <f t="shared" si="169"/>
        <v>28951.2198966665</v>
      </c>
      <c r="Y159" s="470"/>
      <c r="Z159" s="929">
        <f t="shared" si="170"/>
        <v>28951.2198966665</v>
      </c>
      <c r="AA159" s="806">
        <v>18892.9833866667</v>
      </c>
      <c r="AB159" s="806">
        <f t="shared" si="171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366</v>
      </c>
      <c r="C160" s="467">
        <v>271717.166666666</v>
      </c>
      <c r="D160" s="466">
        <v>12</v>
      </c>
      <c r="E160" s="467">
        <f t="shared" si="156"/>
        <v>3260605.99999999</v>
      </c>
      <c r="F160" s="467"/>
      <c r="G160" s="468">
        <v>228208.48</v>
      </c>
      <c r="H160" s="470"/>
      <c r="I160" s="467">
        <f t="shared" si="157"/>
        <v>3032397.51999999</v>
      </c>
      <c r="J160" s="467">
        <v>200000</v>
      </c>
      <c r="K160" s="467">
        <v>0.2</v>
      </c>
      <c r="L160" s="467">
        <f t="shared" si="158"/>
        <v>606479.503999998</v>
      </c>
      <c r="M160" s="467">
        <f t="shared" si="159"/>
        <v>806479.503999998</v>
      </c>
      <c r="N160" s="467">
        <f t="shared" si="160"/>
        <v>1034687.984</v>
      </c>
      <c r="O160" s="467">
        <f t="shared" si="161"/>
        <v>2225918.01599999</v>
      </c>
      <c r="P160" s="467">
        <f t="shared" si="162"/>
        <v>21000</v>
      </c>
      <c r="Q160" s="467">
        <f t="shared" si="163"/>
        <v>33000</v>
      </c>
      <c r="R160" s="467">
        <f t="shared" si="164"/>
        <v>75000</v>
      </c>
      <c r="S160" s="467">
        <f t="shared" si="165"/>
        <v>95000</v>
      </c>
      <c r="T160" s="467">
        <f t="shared" si="166"/>
        <v>131442.783359999</v>
      </c>
      <c r="U160" s="467"/>
      <c r="V160" s="467">
        <f t="shared" si="168"/>
        <v>355442.783359999</v>
      </c>
      <c r="W160" s="474">
        <v>12</v>
      </c>
      <c r="X160" s="467">
        <f t="shared" si="169"/>
        <v>29620.2319466666</v>
      </c>
      <c r="Y160" s="470"/>
      <c r="Z160" s="929">
        <f t="shared" si="170"/>
        <v>29620.2319466666</v>
      </c>
      <c r="AA160" s="806">
        <v>18937.1993066667</v>
      </c>
      <c r="AB160" s="806">
        <f t="shared" si="171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367</v>
      </c>
      <c r="C161" s="467">
        <v>268733.833333334</v>
      </c>
      <c r="D161" s="466">
        <v>12</v>
      </c>
      <c r="E161" s="467">
        <f t="shared" si="156"/>
        <v>3224806.00000001</v>
      </c>
      <c r="F161" s="467"/>
      <c r="G161" s="468">
        <v>222464.48</v>
      </c>
      <c r="H161" s="470"/>
      <c r="I161" s="467">
        <f t="shared" si="157"/>
        <v>3002341.52000001</v>
      </c>
      <c r="J161" s="467">
        <v>200000</v>
      </c>
      <c r="K161" s="467">
        <v>0.2</v>
      </c>
      <c r="L161" s="467">
        <f t="shared" si="158"/>
        <v>600468.304000002</v>
      </c>
      <c r="M161" s="467">
        <f t="shared" si="159"/>
        <v>800468.304000002</v>
      </c>
      <c r="N161" s="467">
        <f t="shared" si="160"/>
        <v>1022932.784</v>
      </c>
      <c r="O161" s="467">
        <f t="shared" si="161"/>
        <v>2201873.21600001</v>
      </c>
      <c r="P161" s="467">
        <f t="shared" si="162"/>
        <v>21000</v>
      </c>
      <c r="Q161" s="467">
        <f t="shared" si="163"/>
        <v>33000</v>
      </c>
      <c r="R161" s="467">
        <f t="shared" si="164"/>
        <v>75000</v>
      </c>
      <c r="S161" s="467">
        <f t="shared" si="165"/>
        <v>95000</v>
      </c>
      <c r="T161" s="467">
        <f t="shared" si="166"/>
        <v>126393.375360001</v>
      </c>
      <c r="U161" s="467"/>
      <c r="V161" s="467">
        <f t="shared" si="168"/>
        <v>350393.375360001</v>
      </c>
      <c r="W161" s="474">
        <v>12</v>
      </c>
      <c r="X161" s="467">
        <f t="shared" si="169"/>
        <v>29199.4479466668</v>
      </c>
      <c r="Y161" s="470"/>
      <c r="Z161" s="929">
        <f t="shared" si="170"/>
        <v>29199.4479466668</v>
      </c>
      <c r="AA161" s="806">
        <v>18631.68944</v>
      </c>
      <c r="AB161" s="806">
        <f t="shared" si="171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369</v>
      </c>
      <c r="C162" s="467">
        <v>265733.833333334</v>
      </c>
      <c r="D162" s="466">
        <v>12</v>
      </c>
      <c r="E162" s="467">
        <f t="shared" si="156"/>
        <v>3188806.00000001</v>
      </c>
      <c r="F162" s="467"/>
      <c r="G162" s="468">
        <v>222464.48</v>
      </c>
      <c r="H162" s="470"/>
      <c r="I162" s="467">
        <f t="shared" si="157"/>
        <v>2966341.52000001</v>
      </c>
      <c r="J162" s="467">
        <v>200000</v>
      </c>
      <c r="K162" s="467">
        <v>0.2</v>
      </c>
      <c r="L162" s="467">
        <f t="shared" si="158"/>
        <v>593268.304000002</v>
      </c>
      <c r="M162" s="467">
        <f t="shared" si="159"/>
        <v>793268.304000002</v>
      </c>
      <c r="N162" s="467">
        <f t="shared" si="160"/>
        <v>1015732.784</v>
      </c>
      <c r="O162" s="467">
        <f t="shared" si="161"/>
        <v>2173073.21600001</v>
      </c>
      <c r="P162" s="467">
        <f t="shared" si="162"/>
        <v>21000</v>
      </c>
      <c r="Q162" s="467">
        <f t="shared" si="163"/>
        <v>33000</v>
      </c>
      <c r="R162" s="467">
        <f t="shared" si="164"/>
        <v>75000</v>
      </c>
      <c r="S162" s="467">
        <f t="shared" si="165"/>
        <v>95000</v>
      </c>
      <c r="T162" s="467">
        <f t="shared" si="166"/>
        <v>120345.375360001</v>
      </c>
      <c r="U162" s="467"/>
      <c r="V162" s="467">
        <f t="shared" si="168"/>
        <v>344345.375360001</v>
      </c>
      <c r="W162" s="474">
        <v>12</v>
      </c>
      <c r="X162" s="467">
        <f t="shared" si="169"/>
        <v>28695.4479466668</v>
      </c>
      <c r="Y162" s="470"/>
      <c r="Z162" s="929">
        <f t="shared" si="170"/>
        <v>28695.4479466668</v>
      </c>
      <c r="AA162" s="806">
        <v>18175.68944</v>
      </c>
      <c r="AB162" s="806">
        <f t="shared" si="171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370</v>
      </c>
      <c r="C163" s="467">
        <v>268733.833333334</v>
      </c>
      <c r="D163" s="466">
        <v>12</v>
      </c>
      <c r="E163" s="467">
        <f t="shared" si="156"/>
        <v>3224806.00000001</v>
      </c>
      <c r="F163" s="467"/>
      <c r="G163" s="468">
        <v>222464.48</v>
      </c>
      <c r="H163" s="470"/>
      <c r="I163" s="467">
        <f t="shared" si="157"/>
        <v>3002341.52000001</v>
      </c>
      <c r="J163" s="467">
        <v>200000</v>
      </c>
      <c r="K163" s="467">
        <v>0.2</v>
      </c>
      <c r="L163" s="467">
        <f t="shared" si="158"/>
        <v>600468.304000002</v>
      </c>
      <c r="M163" s="467">
        <f t="shared" si="159"/>
        <v>800468.304000002</v>
      </c>
      <c r="N163" s="467">
        <f t="shared" si="160"/>
        <v>1022932.784</v>
      </c>
      <c r="O163" s="467">
        <f t="shared" si="161"/>
        <v>2201873.21600001</v>
      </c>
      <c r="P163" s="467">
        <f t="shared" si="162"/>
        <v>21000</v>
      </c>
      <c r="Q163" s="467">
        <f t="shared" si="163"/>
        <v>33000</v>
      </c>
      <c r="R163" s="467">
        <f t="shared" si="164"/>
        <v>75000</v>
      </c>
      <c r="S163" s="467">
        <f t="shared" si="165"/>
        <v>95000</v>
      </c>
      <c r="T163" s="467">
        <f t="shared" si="166"/>
        <v>126393.375360001</v>
      </c>
      <c r="U163" s="467"/>
      <c r="V163" s="467">
        <f t="shared" si="168"/>
        <v>350393.375360001</v>
      </c>
      <c r="W163" s="474">
        <v>12</v>
      </c>
      <c r="X163" s="467">
        <f t="shared" si="169"/>
        <v>29199.4479466668</v>
      </c>
      <c r="Y163" s="470"/>
      <c r="Z163" s="929">
        <f t="shared" si="170"/>
        <v>29199.4479466668</v>
      </c>
      <c r="AA163" s="806">
        <v>18631.68944</v>
      </c>
      <c r="AB163" s="806">
        <f t="shared" si="171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371</v>
      </c>
      <c r="C164" s="467">
        <v>265733.833333334</v>
      </c>
      <c r="D164" s="466">
        <v>12</v>
      </c>
      <c r="E164" s="467">
        <f t="shared" si="156"/>
        <v>3188806.00000001</v>
      </c>
      <c r="F164" s="467"/>
      <c r="G164" s="468">
        <v>222464.48</v>
      </c>
      <c r="H164" s="470"/>
      <c r="I164" s="467">
        <f t="shared" si="157"/>
        <v>2966341.52000001</v>
      </c>
      <c r="J164" s="467">
        <v>200000</v>
      </c>
      <c r="K164" s="467">
        <v>0.2</v>
      </c>
      <c r="L164" s="467">
        <f t="shared" si="158"/>
        <v>593268.304000002</v>
      </c>
      <c r="M164" s="467">
        <f t="shared" si="159"/>
        <v>793268.304000002</v>
      </c>
      <c r="N164" s="467">
        <f t="shared" si="160"/>
        <v>1015732.784</v>
      </c>
      <c r="O164" s="467">
        <f t="shared" si="161"/>
        <v>2173073.21600001</v>
      </c>
      <c r="P164" s="467">
        <f t="shared" si="162"/>
        <v>21000</v>
      </c>
      <c r="Q164" s="467">
        <f t="shared" si="163"/>
        <v>33000</v>
      </c>
      <c r="R164" s="467">
        <f t="shared" si="164"/>
        <v>75000</v>
      </c>
      <c r="S164" s="467">
        <f t="shared" si="165"/>
        <v>95000</v>
      </c>
      <c r="T164" s="467">
        <f t="shared" si="166"/>
        <v>120345.375360001</v>
      </c>
      <c r="U164" s="467"/>
      <c r="V164" s="467">
        <f t="shared" si="168"/>
        <v>344345.375360001</v>
      </c>
      <c r="W164" s="474">
        <v>12</v>
      </c>
      <c r="X164" s="467">
        <f t="shared" si="169"/>
        <v>28695.4479466668</v>
      </c>
      <c r="Y164" s="470"/>
      <c r="Z164" s="929">
        <f t="shared" si="170"/>
        <v>28695.4479466668</v>
      </c>
      <c r="AA164" s="806">
        <v>18175.68944</v>
      </c>
      <c r="AB164" s="806">
        <f t="shared" si="171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372</v>
      </c>
      <c r="C165" s="467">
        <v>265733.833333334</v>
      </c>
      <c r="D165" s="466">
        <v>12</v>
      </c>
      <c r="E165" s="467">
        <f t="shared" si="156"/>
        <v>3188806.00000001</v>
      </c>
      <c r="F165" s="467"/>
      <c r="G165" s="468">
        <v>222464.48</v>
      </c>
      <c r="H165" s="470"/>
      <c r="I165" s="467">
        <f t="shared" si="157"/>
        <v>2966341.52000001</v>
      </c>
      <c r="J165" s="467">
        <v>200000</v>
      </c>
      <c r="K165" s="467">
        <v>0.2</v>
      </c>
      <c r="L165" s="467">
        <f t="shared" si="158"/>
        <v>593268.304000002</v>
      </c>
      <c r="M165" s="467">
        <f t="shared" si="159"/>
        <v>793268.304000002</v>
      </c>
      <c r="N165" s="467">
        <f t="shared" si="160"/>
        <v>1015732.784</v>
      </c>
      <c r="O165" s="467">
        <f t="shared" si="161"/>
        <v>2173073.21600001</v>
      </c>
      <c r="P165" s="467">
        <f t="shared" si="162"/>
        <v>21000</v>
      </c>
      <c r="Q165" s="467">
        <f t="shared" si="163"/>
        <v>33000</v>
      </c>
      <c r="R165" s="467">
        <f t="shared" si="164"/>
        <v>75000</v>
      </c>
      <c r="S165" s="467">
        <f t="shared" si="165"/>
        <v>95000</v>
      </c>
      <c r="T165" s="467">
        <f t="shared" si="166"/>
        <v>120345.375360001</v>
      </c>
      <c r="U165" s="467"/>
      <c r="V165" s="467">
        <f t="shared" si="168"/>
        <v>344345.375360001</v>
      </c>
      <c r="W165" s="474">
        <v>12</v>
      </c>
      <c r="X165" s="467">
        <f t="shared" si="169"/>
        <v>28695.4479466668</v>
      </c>
      <c r="Y165" s="470"/>
      <c r="Z165" s="929">
        <f t="shared" si="170"/>
        <v>28695.4479466668</v>
      </c>
      <c r="AA165" s="806">
        <v>18175.68944</v>
      </c>
      <c r="AB165" s="806">
        <f t="shared" si="171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359</v>
      </c>
      <c r="C166" s="467">
        <v>268733.833333334</v>
      </c>
      <c r="D166" s="466">
        <v>12</v>
      </c>
      <c r="E166" s="467">
        <f t="shared" si="156"/>
        <v>3224806.00000001</v>
      </c>
      <c r="F166" s="467"/>
      <c r="G166" s="468">
        <v>222464.48</v>
      </c>
      <c r="H166" s="470"/>
      <c r="I166" s="467">
        <f t="shared" si="157"/>
        <v>3002341.52000001</v>
      </c>
      <c r="J166" s="467">
        <v>200000</v>
      </c>
      <c r="K166" s="467">
        <v>0.2</v>
      </c>
      <c r="L166" s="467">
        <f t="shared" si="158"/>
        <v>600468.304000002</v>
      </c>
      <c r="M166" s="467">
        <f t="shared" si="159"/>
        <v>800468.304000002</v>
      </c>
      <c r="N166" s="467">
        <f t="shared" si="160"/>
        <v>1022932.784</v>
      </c>
      <c r="O166" s="467">
        <f t="shared" si="161"/>
        <v>2201873.21600001</v>
      </c>
      <c r="P166" s="467">
        <f t="shared" si="162"/>
        <v>21000</v>
      </c>
      <c r="Q166" s="467">
        <f t="shared" si="163"/>
        <v>33000</v>
      </c>
      <c r="R166" s="467">
        <f t="shared" si="164"/>
        <v>75000</v>
      </c>
      <c r="S166" s="467">
        <f t="shared" si="165"/>
        <v>95000</v>
      </c>
      <c r="T166" s="467">
        <f t="shared" si="166"/>
        <v>126393.375360001</v>
      </c>
      <c r="U166" s="467"/>
      <c r="V166" s="467">
        <f t="shared" si="168"/>
        <v>350393.375360001</v>
      </c>
      <c r="W166" s="474">
        <v>12</v>
      </c>
      <c r="X166" s="467">
        <f t="shared" si="169"/>
        <v>29199.4479466668</v>
      </c>
      <c r="Y166" s="470"/>
      <c r="Z166" s="929">
        <f t="shared" si="170"/>
        <v>29199.4479466668</v>
      </c>
      <c r="AA166" s="806">
        <v>18631.68944</v>
      </c>
      <c r="AB166" s="806">
        <f t="shared" si="171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373</v>
      </c>
      <c r="C167" s="467">
        <v>256767.333333333</v>
      </c>
      <c r="D167" s="466">
        <v>12</v>
      </c>
      <c r="E167" s="467">
        <f t="shared" si="156"/>
        <v>3081208</v>
      </c>
      <c r="F167" s="467"/>
      <c r="G167" s="468">
        <v>210976.639999999</v>
      </c>
      <c r="H167" s="470"/>
      <c r="I167" s="467">
        <f t="shared" si="157"/>
        <v>2870231.36</v>
      </c>
      <c r="J167" s="467">
        <v>200000</v>
      </c>
      <c r="K167" s="467">
        <v>0.2</v>
      </c>
      <c r="L167" s="467">
        <f t="shared" si="158"/>
        <v>574046.271999999</v>
      </c>
      <c r="M167" s="467">
        <f t="shared" si="159"/>
        <v>774046.271999999</v>
      </c>
      <c r="N167" s="467">
        <f t="shared" si="160"/>
        <v>985022.911999998</v>
      </c>
      <c r="O167" s="467">
        <f t="shared" si="161"/>
        <v>2096185.088</v>
      </c>
      <c r="P167" s="467">
        <f t="shared" si="162"/>
        <v>21000</v>
      </c>
      <c r="Q167" s="467">
        <f t="shared" si="163"/>
        <v>33000</v>
      </c>
      <c r="R167" s="467">
        <f t="shared" si="164"/>
        <v>75000</v>
      </c>
      <c r="S167" s="467">
        <f t="shared" si="165"/>
        <v>95000</v>
      </c>
      <c r="T167" s="467">
        <f t="shared" si="166"/>
        <v>104198.86848</v>
      </c>
      <c r="U167" s="467"/>
      <c r="V167" s="467">
        <f t="shared" si="168"/>
        <v>328198.868479999</v>
      </c>
      <c r="W167" s="474">
        <v>12</v>
      </c>
      <c r="X167" s="467">
        <f t="shared" si="169"/>
        <v>27349.9057066666</v>
      </c>
      <c r="Y167" s="470"/>
      <c r="Z167" s="929">
        <f t="shared" si="170"/>
        <v>27349.9057066666</v>
      </c>
      <c r="AA167" s="806">
        <v>17160.1997333333</v>
      </c>
      <c r="AB167" s="806">
        <f t="shared" ref="AB167:AB187" si="173">Z167-AA167</f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376</v>
      </c>
      <c r="C168" s="467">
        <v>256767.333333333</v>
      </c>
      <c r="D168" s="466">
        <v>12</v>
      </c>
      <c r="E168" s="467">
        <f t="shared" si="156"/>
        <v>3081208</v>
      </c>
      <c r="F168" s="467"/>
      <c r="G168" s="468">
        <v>210976.639999999</v>
      </c>
      <c r="H168" s="470"/>
      <c r="I168" s="467">
        <f t="shared" si="157"/>
        <v>2870231.36</v>
      </c>
      <c r="J168" s="467">
        <v>200000</v>
      </c>
      <c r="K168" s="467">
        <v>0.2</v>
      </c>
      <c r="L168" s="467">
        <f t="shared" si="158"/>
        <v>574046.271999999</v>
      </c>
      <c r="M168" s="467">
        <f t="shared" si="159"/>
        <v>774046.271999999</v>
      </c>
      <c r="N168" s="467">
        <f t="shared" si="160"/>
        <v>985022.911999998</v>
      </c>
      <c r="O168" s="467">
        <f t="shared" si="161"/>
        <v>2096185.088</v>
      </c>
      <c r="P168" s="467">
        <f t="shared" si="162"/>
        <v>21000</v>
      </c>
      <c r="Q168" s="467">
        <f t="shared" si="163"/>
        <v>33000</v>
      </c>
      <c r="R168" s="467">
        <f t="shared" si="164"/>
        <v>75000</v>
      </c>
      <c r="S168" s="467">
        <f t="shared" si="165"/>
        <v>95000</v>
      </c>
      <c r="T168" s="467">
        <f t="shared" si="166"/>
        <v>104198.86848</v>
      </c>
      <c r="U168" s="467"/>
      <c r="V168" s="467">
        <f t="shared" si="168"/>
        <v>328198.868479999</v>
      </c>
      <c r="W168" s="474">
        <v>12</v>
      </c>
      <c r="X168" s="467">
        <f t="shared" si="169"/>
        <v>27349.9057066666</v>
      </c>
      <c r="Y168" s="470"/>
      <c r="Z168" s="929">
        <f t="shared" si="170"/>
        <v>27349.9057066666</v>
      </c>
      <c r="AA168" s="806">
        <v>17160.1997333333</v>
      </c>
      <c r="AB168" s="806">
        <f t="shared" si="173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377</v>
      </c>
      <c r="C169" s="467">
        <v>262750.583333333</v>
      </c>
      <c r="D169" s="466">
        <v>12</v>
      </c>
      <c r="E169" s="467">
        <f t="shared" si="156"/>
        <v>3153007</v>
      </c>
      <c r="F169" s="467"/>
      <c r="G169" s="468">
        <v>216720.559999999</v>
      </c>
      <c r="H169" s="470"/>
      <c r="I169" s="467">
        <f t="shared" si="157"/>
        <v>2936286.44</v>
      </c>
      <c r="J169" s="467">
        <v>200000</v>
      </c>
      <c r="K169" s="467">
        <v>0.2</v>
      </c>
      <c r="L169" s="467">
        <f t="shared" si="158"/>
        <v>587257.287999999</v>
      </c>
      <c r="M169" s="467">
        <f t="shared" si="159"/>
        <v>787257.287999999</v>
      </c>
      <c r="N169" s="467">
        <f t="shared" si="160"/>
        <v>1003977.848</v>
      </c>
      <c r="O169" s="467">
        <f t="shared" si="161"/>
        <v>2149029.152</v>
      </c>
      <c r="P169" s="467">
        <f t="shared" si="162"/>
        <v>21000</v>
      </c>
      <c r="Q169" s="467">
        <f t="shared" si="163"/>
        <v>33000</v>
      </c>
      <c r="R169" s="467">
        <f t="shared" si="164"/>
        <v>75000</v>
      </c>
      <c r="S169" s="467">
        <f t="shared" si="165"/>
        <v>95000</v>
      </c>
      <c r="T169" s="467">
        <f t="shared" si="166"/>
        <v>115296.12192</v>
      </c>
      <c r="U169" s="467"/>
      <c r="V169" s="467">
        <f t="shared" si="168"/>
        <v>339296.12192</v>
      </c>
      <c r="W169" s="474">
        <v>12</v>
      </c>
      <c r="X169" s="467">
        <f t="shared" si="169"/>
        <v>28274.6768266666</v>
      </c>
      <c r="Y169" s="470"/>
      <c r="Z169" s="929">
        <f t="shared" si="170"/>
        <v>28274.6768266666</v>
      </c>
      <c r="AA169" s="806">
        <v>17895.9445866667</v>
      </c>
      <c r="AB169" s="806">
        <f t="shared" si="173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379</v>
      </c>
      <c r="C170" s="467">
        <v>240784</v>
      </c>
      <c r="D170" s="466">
        <v>12</v>
      </c>
      <c r="E170" s="467">
        <f t="shared" si="156"/>
        <v>2889408</v>
      </c>
      <c r="F170" s="467"/>
      <c r="G170" s="468">
        <v>205232.64</v>
      </c>
      <c r="H170" s="470"/>
      <c r="I170" s="467">
        <f t="shared" si="157"/>
        <v>2684175.36</v>
      </c>
      <c r="J170" s="467">
        <v>200000</v>
      </c>
      <c r="K170" s="467">
        <v>0.2</v>
      </c>
      <c r="L170" s="467">
        <f t="shared" si="158"/>
        <v>536835.072</v>
      </c>
      <c r="M170" s="467">
        <f t="shared" si="159"/>
        <v>736835.072</v>
      </c>
      <c r="N170" s="467">
        <f t="shared" si="160"/>
        <v>942067.712</v>
      </c>
      <c r="O170" s="467">
        <f t="shared" si="161"/>
        <v>1947340.288</v>
      </c>
      <c r="P170" s="467">
        <f t="shared" si="162"/>
        <v>21000</v>
      </c>
      <c r="Q170" s="467">
        <f t="shared" si="163"/>
        <v>33000</v>
      </c>
      <c r="R170" s="467">
        <f t="shared" si="164"/>
        <v>75000</v>
      </c>
      <c r="S170" s="467">
        <f t="shared" si="165"/>
        <v>95000</v>
      </c>
      <c r="T170" s="467">
        <f t="shared" si="166"/>
        <v>72941.46048</v>
      </c>
      <c r="U170" s="467"/>
      <c r="V170" s="467">
        <f t="shared" si="168"/>
        <v>296941.46048</v>
      </c>
      <c r="W170" s="474">
        <v>12</v>
      </c>
      <c r="X170" s="467">
        <f t="shared" si="169"/>
        <v>24745.1217066667</v>
      </c>
      <c r="Y170" s="470"/>
      <c r="Z170" s="929">
        <f t="shared" si="170"/>
        <v>24745.1217066667</v>
      </c>
      <c r="AA170" s="806">
        <v>17160.1997333333</v>
      </c>
      <c r="AB170" s="806">
        <f t="shared" si="173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382</v>
      </c>
      <c r="C171" s="467">
        <v>173356.75</v>
      </c>
      <c r="D171" s="466">
        <v>12</v>
      </c>
      <c r="E171" s="467">
        <f t="shared" si="156"/>
        <v>2080281</v>
      </c>
      <c r="F171" s="467"/>
      <c r="G171" s="468">
        <v>140502.48</v>
      </c>
      <c r="H171" s="470"/>
      <c r="I171" s="467">
        <f t="shared" si="157"/>
        <v>1939778.52</v>
      </c>
      <c r="J171" s="467">
        <v>200000</v>
      </c>
      <c r="K171" s="467">
        <v>0.2</v>
      </c>
      <c r="L171" s="467">
        <f t="shared" si="158"/>
        <v>387955.704</v>
      </c>
      <c r="M171" s="467">
        <f t="shared" si="159"/>
        <v>587955.704</v>
      </c>
      <c r="N171" s="467">
        <f t="shared" si="160"/>
        <v>728458.184</v>
      </c>
      <c r="O171" s="467">
        <f t="shared" si="161"/>
        <v>1351822.816</v>
      </c>
      <c r="P171" s="467">
        <f t="shared" si="162"/>
        <v>21000</v>
      </c>
      <c r="Q171" s="467">
        <f t="shared" si="163"/>
        <v>33000</v>
      </c>
      <c r="R171" s="467">
        <f t="shared" si="164"/>
        <v>75000</v>
      </c>
      <c r="S171" s="467">
        <f t="shared" si="165"/>
        <v>47846.33504</v>
      </c>
      <c r="T171" s="467">
        <f t="shared" si="166"/>
        <v>0</v>
      </c>
      <c r="U171" s="467"/>
      <c r="V171" s="467">
        <f t="shared" si="168"/>
        <v>176846.33504</v>
      </c>
      <c r="W171" s="474">
        <v>12</v>
      </c>
      <c r="X171" s="467">
        <f t="shared" si="169"/>
        <v>14737.1945866667</v>
      </c>
      <c r="Y171" s="470"/>
      <c r="Z171" s="929">
        <f t="shared" si="170"/>
        <v>14737.1945866667</v>
      </c>
      <c r="AA171" s="806">
        <v>7852.4192</v>
      </c>
      <c r="AB171" s="806">
        <f t="shared" si="173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383</v>
      </c>
      <c r="C172" s="467">
        <v>170356.75</v>
      </c>
      <c r="D172" s="466">
        <v>12</v>
      </c>
      <c r="E172" s="467">
        <f t="shared" si="156"/>
        <v>2044281</v>
      </c>
      <c r="F172" s="467"/>
      <c r="G172" s="468">
        <v>140502.48</v>
      </c>
      <c r="H172" s="470"/>
      <c r="I172" s="467">
        <f t="shared" si="157"/>
        <v>1903778.52</v>
      </c>
      <c r="J172" s="467">
        <v>200000</v>
      </c>
      <c r="K172" s="467">
        <v>0.2</v>
      </c>
      <c r="L172" s="467">
        <f t="shared" si="158"/>
        <v>380755.704</v>
      </c>
      <c r="M172" s="467">
        <f t="shared" si="159"/>
        <v>580755.704</v>
      </c>
      <c r="N172" s="467">
        <f t="shared" si="160"/>
        <v>721258.184</v>
      </c>
      <c r="O172" s="467">
        <f t="shared" si="161"/>
        <v>1323022.816</v>
      </c>
      <c r="P172" s="467">
        <f t="shared" si="162"/>
        <v>21000</v>
      </c>
      <c r="Q172" s="467">
        <f t="shared" si="163"/>
        <v>33000</v>
      </c>
      <c r="R172" s="467">
        <f t="shared" si="164"/>
        <v>75000</v>
      </c>
      <c r="S172" s="467">
        <f t="shared" si="165"/>
        <v>42374.33504</v>
      </c>
      <c r="T172" s="467">
        <f t="shared" si="166"/>
        <v>0</v>
      </c>
      <c r="U172" s="467"/>
      <c r="V172" s="467">
        <f t="shared" si="168"/>
        <v>171374.33504</v>
      </c>
      <c r="W172" s="474">
        <v>12</v>
      </c>
      <c r="X172" s="467">
        <f t="shared" si="169"/>
        <v>14281.1945866667</v>
      </c>
      <c r="Y172" s="470"/>
      <c r="Z172" s="929">
        <f t="shared" si="170"/>
        <v>14281.1945866667</v>
      </c>
      <c r="AA172" s="806">
        <v>7492.4192</v>
      </c>
      <c r="AB172" s="806">
        <f t="shared" si="173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384</v>
      </c>
      <c r="C173" s="467">
        <v>173356.75</v>
      </c>
      <c r="D173" s="466">
        <v>12</v>
      </c>
      <c r="E173" s="467">
        <f t="shared" si="156"/>
        <v>2080281</v>
      </c>
      <c r="F173" s="467"/>
      <c r="G173" s="468">
        <v>140502.48</v>
      </c>
      <c r="H173" s="470"/>
      <c r="I173" s="467">
        <f t="shared" si="157"/>
        <v>1939778.52</v>
      </c>
      <c r="J173" s="467">
        <v>200000</v>
      </c>
      <c r="K173" s="467">
        <v>0.2</v>
      </c>
      <c r="L173" s="467">
        <f t="shared" si="158"/>
        <v>387955.704</v>
      </c>
      <c r="M173" s="467">
        <f t="shared" si="159"/>
        <v>587955.704</v>
      </c>
      <c r="N173" s="467">
        <f t="shared" si="160"/>
        <v>728458.184</v>
      </c>
      <c r="O173" s="467">
        <f t="shared" si="161"/>
        <v>1351822.816</v>
      </c>
      <c r="P173" s="467">
        <f t="shared" si="162"/>
        <v>21000</v>
      </c>
      <c r="Q173" s="467">
        <f t="shared" si="163"/>
        <v>33000</v>
      </c>
      <c r="R173" s="467">
        <f t="shared" si="164"/>
        <v>75000</v>
      </c>
      <c r="S173" s="467">
        <f t="shared" si="165"/>
        <v>47846.33504</v>
      </c>
      <c r="T173" s="467">
        <f t="shared" ref="T173:T187" si="174">IF((O173-1600000)&lt;0,0,IF((O173-1600000)&lt;1600000,0.21*(O173-1600000),336000))</f>
        <v>0</v>
      </c>
      <c r="U173" s="467"/>
      <c r="V173" s="467">
        <f t="shared" si="168"/>
        <v>176846.33504</v>
      </c>
      <c r="W173" s="474">
        <v>12</v>
      </c>
      <c r="X173" s="467">
        <f t="shared" si="169"/>
        <v>14737.1945866667</v>
      </c>
      <c r="Y173" s="470"/>
      <c r="Z173" s="929">
        <f t="shared" si="170"/>
        <v>14737.1945866667</v>
      </c>
      <c r="AA173" s="806">
        <v>7852.4192</v>
      </c>
      <c r="AB173" s="806">
        <f t="shared" si="173"/>
        <v>6884.77538666667</v>
      </c>
      <c r="AC173" s="479"/>
      <c r="AD173" s="479"/>
      <c r="AE173" s="479"/>
    </row>
    <row r="174" ht="15.5" spans="1:31">
      <c r="A174" s="464">
        <v>158</v>
      </c>
      <c r="B174" s="643" t="s">
        <v>385</v>
      </c>
      <c r="C174" s="938">
        <v>170356.75</v>
      </c>
      <c r="D174" s="466">
        <v>12</v>
      </c>
      <c r="E174" s="467">
        <f t="shared" si="156"/>
        <v>2044281</v>
      </c>
      <c r="F174" s="467"/>
      <c r="G174" s="468">
        <v>140502.48</v>
      </c>
      <c r="H174" s="470"/>
      <c r="I174" s="467">
        <f t="shared" si="157"/>
        <v>1903778.52</v>
      </c>
      <c r="J174" s="467">
        <v>200000</v>
      </c>
      <c r="K174" s="467">
        <v>0.2</v>
      </c>
      <c r="L174" s="467">
        <f t="shared" si="158"/>
        <v>380755.704</v>
      </c>
      <c r="M174" s="467">
        <f t="shared" si="159"/>
        <v>580755.704</v>
      </c>
      <c r="N174" s="467">
        <f t="shared" si="160"/>
        <v>721258.184</v>
      </c>
      <c r="O174" s="467">
        <f t="shared" si="161"/>
        <v>1323022.816</v>
      </c>
      <c r="P174" s="467">
        <f t="shared" si="162"/>
        <v>21000</v>
      </c>
      <c r="Q174" s="467">
        <f t="shared" si="163"/>
        <v>33000</v>
      </c>
      <c r="R174" s="467">
        <f t="shared" si="164"/>
        <v>75000</v>
      </c>
      <c r="S174" s="467">
        <f t="shared" si="165"/>
        <v>42374.33504</v>
      </c>
      <c r="T174" s="467">
        <f t="shared" si="174"/>
        <v>0</v>
      </c>
      <c r="U174" s="467"/>
      <c r="V174" s="467">
        <f t="shared" si="168"/>
        <v>171374.33504</v>
      </c>
      <c r="W174" s="474">
        <v>12</v>
      </c>
      <c r="X174" s="467">
        <f t="shared" si="169"/>
        <v>14281.1945866667</v>
      </c>
      <c r="Y174" s="470"/>
      <c r="Z174" s="929">
        <f t="shared" si="170"/>
        <v>14281.1945866667</v>
      </c>
      <c r="AA174" s="806">
        <v>7492.4192</v>
      </c>
      <c r="AB174" s="806">
        <f t="shared" si="173"/>
        <v>6788.77538666667</v>
      </c>
      <c r="AC174" s="479"/>
      <c r="AD174" s="479"/>
      <c r="AE174" s="479"/>
    </row>
    <row r="175" ht="15.5" spans="1:28">
      <c r="A175" s="464">
        <v>159</v>
      </c>
      <c r="B175" s="643" t="s">
        <v>386</v>
      </c>
      <c r="C175" s="938">
        <v>173356.75</v>
      </c>
      <c r="D175" s="466">
        <v>12</v>
      </c>
      <c r="E175" s="467">
        <f t="shared" si="156"/>
        <v>2080281</v>
      </c>
      <c r="F175" s="467"/>
      <c r="G175" s="468">
        <v>140502.48</v>
      </c>
      <c r="H175" s="470"/>
      <c r="I175" s="467">
        <f t="shared" si="157"/>
        <v>1939778.52</v>
      </c>
      <c r="J175" s="467">
        <v>200000</v>
      </c>
      <c r="K175" s="467">
        <v>0.2</v>
      </c>
      <c r="L175" s="467">
        <f t="shared" si="158"/>
        <v>387955.704</v>
      </c>
      <c r="M175" s="467">
        <f t="shared" si="159"/>
        <v>587955.704</v>
      </c>
      <c r="N175" s="467">
        <f t="shared" si="160"/>
        <v>728458.184</v>
      </c>
      <c r="O175" s="467">
        <f t="shared" si="161"/>
        <v>1351822.816</v>
      </c>
      <c r="P175" s="467">
        <f t="shared" si="162"/>
        <v>21000</v>
      </c>
      <c r="Q175" s="467">
        <f t="shared" si="163"/>
        <v>33000</v>
      </c>
      <c r="R175" s="467">
        <f t="shared" si="164"/>
        <v>75000</v>
      </c>
      <c r="S175" s="467">
        <f t="shared" si="165"/>
        <v>47846.33504</v>
      </c>
      <c r="T175" s="467">
        <f t="shared" si="174"/>
        <v>0</v>
      </c>
      <c r="U175" s="467"/>
      <c r="V175" s="467">
        <f t="shared" si="168"/>
        <v>176846.33504</v>
      </c>
      <c r="W175" s="474">
        <v>12</v>
      </c>
      <c r="X175" s="467">
        <f t="shared" si="169"/>
        <v>14737.1945866667</v>
      </c>
      <c r="Y175" s="470"/>
      <c r="Z175" s="929">
        <f t="shared" si="170"/>
        <v>14737.1945866667</v>
      </c>
      <c r="AA175" s="806">
        <v>7852.4192</v>
      </c>
      <c r="AB175" s="806">
        <f t="shared" si="173"/>
        <v>6884.77538666667</v>
      </c>
    </row>
    <row r="176" ht="15.5" spans="1:28">
      <c r="A176" s="464">
        <v>160</v>
      </c>
      <c r="B176" s="351" t="s">
        <v>387</v>
      </c>
      <c r="C176" s="806">
        <v>170356.75</v>
      </c>
      <c r="D176" s="466">
        <v>12</v>
      </c>
      <c r="E176" s="467">
        <f t="shared" si="156"/>
        <v>2044281</v>
      </c>
      <c r="F176" s="620"/>
      <c r="G176" s="468">
        <v>140502.48</v>
      </c>
      <c r="I176" s="467">
        <f t="shared" si="157"/>
        <v>1903778.52</v>
      </c>
      <c r="J176" s="467">
        <v>200000</v>
      </c>
      <c r="K176" s="467">
        <v>0.2</v>
      </c>
      <c r="L176" s="467">
        <f t="shared" si="158"/>
        <v>380755.704</v>
      </c>
      <c r="M176" s="467">
        <f t="shared" si="159"/>
        <v>580755.704</v>
      </c>
      <c r="N176" s="467">
        <f t="shared" si="160"/>
        <v>721258.184</v>
      </c>
      <c r="O176" s="467">
        <f t="shared" si="161"/>
        <v>1323022.816</v>
      </c>
      <c r="P176" s="467">
        <f t="shared" si="162"/>
        <v>21000</v>
      </c>
      <c r="Q176" s="467">
        <f t="shared" si="163"/>
        <v>33000</v>
      </c>
      <c r="R176" s="467">
        <f t="shared" si="164"/>
        <v>75000</v>
      </c>
      <c r="S176" s="467">
        <f t="shared" si="165"/>
        <v>42374.33504</v>
      </c>
      <c r="T176" s="467">
        <f t="shared" si="174"/>
        <v>0</v>
      </c>
      <c r="U176" s="467"/>
      <c r="V176" s="467">
        <f t="shared" si="168"/>
        <v>171374.33504</v>
      </c>
      <c r="W176" s="474">
        <v>12</v>
      </c>
      <c r="X176" s="467">
        <f t="shared" si="169"/>
        <v>14281.1945866667</v>
      </c>
      <c r="Z176" s="929">
        <f t="shared" si="170"/>
        <v>14281.1945866667</v>
      </c>
      <c r="AA176" s="806">
        <v>7492.4192</v>
      </c>
      <c r="AB176" s="806">
        <f t="shared" si="173"/>
        <v>6788.77538666667</v>
      </c>
    </row>
    <row r="177" ht="15.5" spans="1:28">
      <c r="A177" s="464">
        <v>161</v>
      </c>
      <c r="B177" s="351" t="s">
        <v>389</v>
      </c>
      <c r="C177" s="806">
        <v>173356.75</v>
      </c>
      <c r="D177" s="466">
        <v>12</v>
      </c>
      <c r="E177" s="467">
        <f t="shared" si="156"/>
        <v>2080281</v>
      </c>
      <c r="F177" s="620"/>
      <c r="G177" s="468">
        <v>140502.48</v>
      </c>
      <c r="I177" s="467">
        <f t="shared" si="157"/>
        <v>1939778.52</v>
      </c>
      <c r="J177" s="467">
        <v>200000</v>
      </c>
      <c r="K177" s="467">
        <v>0.2</v>
      </c>
      <c r="L177" s="467">
        <f t="shared" si="158"/>
        <v>387955.704</v>
      </c>
      <c r="M177" s="467">
        <f t="shared" si="159"/>
        <v>587955.704</v>
      </c>
      <c r="N177" s="467">
        <f t="shared" si="160"/>
        <v>728458.184</v>
      </c>
      <c r="O177" s="467">
        <f t="shared" si="161"/>
        <v>1351822.816</v>
      </c>
      <c r="P177" s="467">
        <f t="shared" si="162"/>
        <v>21000</v>
      </c>
      <c r="Q177" s="467">
        <f t="shared" si="163"/>
        <v>33000</v>
      </c>
      <c r="R177" s="467">
        <f t="shared" si="164"/>
        <v>75000</v>
      </c>
      <c r="S177" s="467">
        <f t="shared" si="165"/>
        <v>47846.33504</v>
      </c>
      <c r="T177" s="467">
        <f t="shared" si="174"/>
        <v>0</v>
      </c>
      <c r="U177" s="467"/>
      <c r="V177" s="467">
        <f t="shared" si="168"/>
        <v>176846.33504</v>
      </c>
      <c r="W177" s="474">
        <v>12</v>
      </c>
      <c r="X177" s="467">
        <f t="shared" si="169"/>
        <v>14737.1945866667</v>
      </c>
      <c r="Z177" s="929">
        <f t="shared" si="170"/>
        <v>14737.1945866667</v>
      </c>
      <c r="AA177" s="806">
        <v>7852.4192</v>
      </c>
      <c r="AB177" s="806">
        <f t="shared" si="173"/>
        <v>6884.77538666667</v>
      </c>
    </row>
    <row r="178" ht="15.5" spans="1:28">
      <c r="A178" s="464">
        <v>162</v>
      </c>
      <c r="B178" s="643" t="s">
        <v>572</v>
      </c>
      <c r="C178" s="806"/>
      <c r="D178" s="466"/>
      <c r="E178" s="467"/>
      <c r="F178" s="620"/>
      <c r="G178" s="468"/>
      <c r="I178" s="467"/>
      <c r="J178" s="467"/>
      <c r="K178" s="467"/>
      <c r="L178" s="467"/>
      <c r="M178" s="467"/>
      <c r="N178" s="467">
        <f t="shared" si="160"/>
        <v>0</v>
      </c>
      <c r="O178" s="467">
        <f t="shared" si="161"/>
        <v>0</v>
      </c>
      <c r="P178" s="467">
        <f t="shared" si="162"/>
        <v>0</v>
      </c>
      <c r="Q178" s="467">
        <f t="shared" si="163"/>
        <v>0</v>
      </c>
      <c r="R178" s="467">
        <f t="shared" si="164"/>
        <v>0</v>
      </c>
      <c r="S178" s="467">
        <f t="shared" si="165"/>
        <v>0</v>
      </c>
      <c r="T178" s="467">
        <f t="shared" si="174"/>
        <v>0</v>
      </c>
      <c r="V178" s="467">
        <f t="shared" si="168"/>
        <v>0</v>
      </c>
      <c r="W178" s="474">
        <v>12</v>
      </c>
      <c r="X178" s="467">
        <f t="shared" si="169"/>
        <v>0</v>
      </c>
      <c r="Z178" s="929">
        <f t="shared" si="170"/>
        <v>0</v>
      </c>
      <c r="AA178" s="806"/>
      <c r="AB178" s="806"/>
    </row>
    <row r="179" ht="15.5" spans="1:28">
      <c r="A179" s="464">
        <v>163</v>
      </c>
      <c r="B179" s="643" t="s">
        <v>392</v>
      </c>
      <c r="C179" s="806">
        <v>173356.75</v>
      </c>
      <c r="D179" s="466">
        <v>12</v>
      </c>
      <c r="E179" s="467">
        <f t="shared" si="156"/>
        <v>2080281</v>
      </c>
      <c r="F179" s="620"/>
      <c r="G179" s="468">
        <v>140502.48</v>
      </c>
      <c r="I179" s="467">
        <f t="shared" si="157"/>
        <v>1939778.52</v>
      </c>
      <c r="J179" s="467">
        <v>200000</v>
      </c>
      <c r="K179" s="467">
        <v>0.2</v>
      </c>
      <c r="L179" s="467">
        <f t="shared" si="158"/>
        <v>387955.704</v>
      </c>
      <c r="M179" s="467">
        <f t="shared" si="159"/>
        <v>587955.704</v>
      </c>
      <c r="N179" s="467">
        <f t="shared" si="160"/>
        <v>728458.184</v>
      </c>
      <c r="O179" s="467">
        <f t="shared" si="161"/>
        <v>1351822.816</v>
      </c>
      <c r="P179" s="467">
        <f t="shared" si="162"/>
        <v>21000</v>
      </c>
      <c r="Q179" s="467">
        <f t="shared" si="163"/>
        <v>33000</v>
      </c>
      <c r="R179" s="467">
        <f t="shared" si="164"/>
        <v>75000</v>
      </c>
      <c r="S179" s="467">
        <f t="shared" si="165"/>
        <v>47846.33504</v>
      </c>
      <c r="T179" s="467">
        <f t="shared" si="174"/>
        <v>0</v>
      </c>
      <c r="V179" s="467">
        <f t="shared" si="168"/>
        <v>176846.33504</v>
      </c>
      <c r="W179" s="474">
        <v>12</v>
      </c>
      <c r="X179" s="467">
        <f t="shared" si="169"/>
        <v>14737.1945866667</v>
      </c>
      <c r="Z179" s="929">
        <f t="shared" si="170"/>
        <v>14737.1945866667</v>
      </c>
      <c r="AA179" s="806">
        <v>7852.4192</v>
      </c>
      <c r="AB179" s="806">
        <f t="shared" si="173"/>
        <v>6884.77538666667</v>
      </c>
    </row>
    <row r="180" ht="15.5" spans="1:28">
      <c r="A180" s="464">
        <v>164</v>
      </c>
      <c r="B180" s="351" t="s">
        <v>360</v>
      </c>
      <c r="C180" s="806">
        <v>170495.666666667</v>
      </c>
      <c r="D180" s="466">
        <v>12</v>
      </c>
      <c r="E180" s="467">
        <f t="shared" si="156"/>
        <v>2045948</v>
      </c>
      <c r="F180" s="620"/>
      <c r="G180" s="468">
        <v>137755.84</v>
      </c>
      <c r="I180" s="467">
        <f t="shared" si="157"/>
        <v>1908192.16</v>
      </c>
      <c r="J180" s="467">
        <v>200000</v>
      </c>
      <c r="K180" s="467">
        <v>0.2</v>
      </c>
      <c r="L180" s="467">
        <f t="shared" si="158"/>
        <v>381638.432000001</v>
      </c>
      <c r="M180" s="467">
        <f t="shared" si="159"/>
        <v>581638.432000001</v>
      </c>
      <c r="N180" s="467">
        <f t="shared" si="160"/>
        <v>719394.272000001</v>
      </c>
      <c r="O180" s="467">
        <f t="shared" si="161"/>
        <v>1326553.728</v>
      </c>
      <c r="P180" s="467">
        <f t="shared" si="162"/>
        <v>21000</v>
      </c>
      <c r="Q180" s="467">
        <f t="shared" si="163"/>
        <v>33000</v>
      </c>
      <c r="R180" s="467">
        <f t="shared" si="164"/>
        <v>75000</v>
      </c>
      <c r="S180" s="467">
        <f t="shared" si="165"/>
        <v>43045.2083200006</v>
      </c>
      <c r="T180" s="467">
        <f t="shared" si="174"/>
        <v>0</v>
      </c>
      <c r="V180" s="467">
        <f t="shared" si="168"/>
        <v>172045.208320001</v>
      </c>
      <c r="W180" s="474">
        <v>12</v>
      </c>
      <c r="X180" s="467">
        <f t="shared" si="169"/>
        <v>14337.1006933334</v>
      </c>
      <c r="Z180" s="929">
        <f t="shared" si="170"/>
        <v>14337.1006933334</v>
      </c>
      <c r="AA180" s="806">
        <v>7571.1476</v>
      </c>
      <c r="AB180" s="806">
        <f t="shared" si="173"/>
        <v>6765.95309333339</v>
      </c>
    </row>
    <row r="181" ht="15.5" spans="1:28">
      <c r="A181" s="464">
        <v>165</v>
      </c>
      <c r="B181" s="351" t="s">
        <v>394</v>
      </c>
      <c r="C181" s="806">
        <v>134014.43</v>
      </c>
      <c r="D181" s="466">
        <v>12</v>
      </c>
      <c r="E181" s="467">
        <f t="shared" si="156"/>
        <v>1608173.16</v>
      </c>
      <c r="F181" s="620"/>
      <c r="G181" s="468">
        <v>132262.56</v>
      </c>
      <c r="I181" s="467">
        <f t="shared" si="157"/>
        <v>1475910.6</v>
      </c>
      <c r="J181" s="467">
        <v>200000</v>
      </c>
      <c r="K181" s="467">
        <v>0.2</v>
      </c>
      <c r="L181" s="467">
        <f t="shared" si="158"/>
        <v>295182.12</v>
      </c>
      <c r="M181" s="467">
        <f t="shared" si="159"/>
        <v>495182.12</v>
      </c>
      <c r="N181" s="467">
        <f t="shared" si="160"/>
        <v>627444.68</v>
      </c>
      <c r="O181" s="467">
        <f t="shared" si="161"/>
        <v>980728.48</v>
      </c>
      <c r="P181" s="467">
        <f t="shared" si="162"/>
        <v>21000</v>
      </c>
      <c r="Q181" s="467">
        <f t="shared" si="163"/>
        <v>33000</v>
      </c>
      <c r="R181" s="467">
        <f t="shared" si="164"/>
        <v>57109.272</v>
      </c>
      <c r="S181" s="467">
        <f t="shared" si="165"/>
        <v>0</v>
      </c>
      <c r="T181" s="467">
        <f t="shared" si="174"/>
        <v>0</v>
      </c>
      <c r="V181" s="467">
        <f t="shared" si="168"/>
        <v>111109.272</v>
      </c>
      <c r="W181" s="474">
        <v>12</v>
      </c>
      <c r="X181" s="467">
        <f t="shared" si="169"/>
        <v>9259.106</v>
      </c>
      <c r="Z181" s="929">
        <f t="shared" si="170"/>
        <v>9259.106</v>
      </c>
      <c r="AA181" s="806">
        <v>3685.06</v>
      </c>
      <c r="AB181" s="806">
        <f t="shared" si="173"/>
        <v>5574.046</v>
      </c>
    </row>
    <row r="182" ht="15.5" spans="1:28">
      <c r="A182" s="464">
        <v>166</v>
      </c>
      <c r="B182" s="351" t="s">
        <v>397</v>
      </c>
      <c r="C182" s="806">
        <v>156912.666666667</v>
      </c>
      <c r="D182" s="466">
        <v>12</v>
      </c>
      <c r="E182" s="467">
        <f t="shared" si="156"/>
        <v>1882952</v>
      </c>
      <c r="F182" s="620"/>
      <c r="G182" s="468">
        <v>129516.16</v>
      </c>
      <c r="I182" s="467">
        <f t="shared" si="157"/>
        <v>1753435.84</v>
      </c>
      <c r="J182" s="467">
        <v>200000</v>
      </c>
      <c r="K182" s="467">
        <v>0.2</v>
      </c>
      <c r="L182" s="467">
        <f t="shared" si="158"/>
        <v>350687.168000001</v>
      </c>
      <c r="M182" s="467">
        <f t="shared" si="159"/>
        <v>550687.168000001</v>
      </c>
      <c r="N182" s="467">
        <f t="shared" si="160"/>
        <v>680203.328000001</v>
      </c>
      <c r="O182" s="467">
        <f t="shared" si="161"/>
        <v>1202748.672</v>
      </c>
      <c r="P182" s="467">
        <f t="shared" si="162"/>
        <v>21000</v>
      </c>
      <c r="Q182" s="467">
        <f t="shared" si="163"/>
        <v>33000</v>
      </c>
      <c r="R182" s="467">
        <f t="shared" si="164"/>
        <v>75000</v>
      </c>
      <c r="S182" s="467">
        <f t="shared" si="165"/>
        <v>19522.2476800006</v>
      </c>
      <c r="T182" s="467">
        <f t="shared" si="174"/>
        <v>0</v>
      </c>
      <c r="V182" s="467">
        <f t="shared" si="168"/>
        <v>148522.247680001</v>
      </c>
      <c r="W182" s="474">
        <v>12</v>
      </c>
      <c r="X182" s="467">
        <f t="shared" si="169"/>
        <v>12376.8539733334</v>
      </c>
      <c r="Z182" s="929">
        <f t="shared" si="170"/>
        <v>12376.8539733334</v>
      </c>
      <c r="AA182" s="806">
        <v>6435.0616</v>
      </c>
      <c r="AB182" s="806">
        <f t="shared" si="173"/>
        <v>5941.79237333338</v>
      </c>
    </row>
    <row r="183" ht="15.5" spans="1:28">
      <c r="A183" s="464">
        <v>167</v>
      </c>
      <c r="B183" s="351" t="s">
        <v>401</v>
      </c>
      <c r="C183" s="806">
        <v>157279.033333333</v>
      </c>
      <c r="D183" s="466">
        <v>12</v>
      </c>
      <c r="E183" s="467">
        <f t="shared" si="156"/>
        <v>1887348.4</v>
      </c>
      <c r="F183" s="620"/>
      <c r="G183" s="468">
        <v>123887.44</v>
      </c>
      <c r="I183" s="467">
        <f t="shared" si="157"/>
        <v>1763460.96</v>
      </c>
      <c r="J183" s="467">
        <v>200000</v>
      </c>
      <c r="K183" s="467">
        <v>0.2</v>
      </c>
      <c r="L183" s="467">
        <f t="shared" si="158"/>
        <v>352692.191999999</v>
      </c>
      <c r="M183" s="467">
        <f t="shared" si="159"/>
        <v>552692.191999999</v>
      </c>
      <c r="N183" s="467">
        <f t="shared" si="160"/>
        <v>676579.631999999</v>
      </c>
      <c r="O183" s="467">
        <f t="shared" si="161"/>
        <v>1210768.768</v>
      </c>
      <c r="P183" s="467">
        <f t="shared" si="162"/>
        <v>21000</v>
      </c>
      <c r="Q183" s="467">
        <f t="shared" si="163"/>
        <v>33000</v>
      </c>
      <c r="R183" s="467">
        <f t="shared" si="164"/>
        <v>75000</v>
      </c>
      <c r="S183" s="467">
        <f t="shared" si="165"/>
        <v>21046.0659199994</v>
      </c>
      <c r="T183" s="467">
        <f t="shared" si="174"/>
        <v>0</v>
      </c>
      <c r="V183" s="467">
        <f t="shared" si="168"/>
        <v>150046.065919999</v>
      </c>
      <c r="W183" s="474">
        <v>12</v>
      </c>
      <c r="X183" s="467">
        <f t="shared" si="169"/>
        <v>12503.8388266666</v>
      </c>
      <c r="Z183" s="929">
        <f t="shared" si="170"/>
        <v>12503.8388266666</v>
      </c>
      <c r="AA183" s="806">
        <v>5230.0988</v>
      </c>
      <c r="AB183" s="806">
        <f t="shared" si="173"/>
        <v>7273.74002666662</v>
      </c>
    </row>
    <row r="184" ht="15.5" spans="1:28">
      <c r="A184" s="464">
        <v>168</v>
      </c>
      <c r="B184" s="351" t="s">
        <v>404</v>
      </c>
      <c r="C184" s="806">
        <v>148049.416666667</v>
      </c>
      <c r="D184" s="466">
        <v>12</v>
      </c>
      <c r="E184" s="467">
        <f t="shared" si="156"/>
        <v>1776593</v>
      </c>
      <c r="F184" s="620"/>
      <c r="G184" s="468">
        <v>123887.44</v>
      </c>
      <c r="I184" s="467">
        <f t="shared" si="157"/>
        <v>1652705.56</v>
      </c>
      <c r="J184" s="467">
        <v>200000</v>
      </c>
      <c r="K184" s="467">
        <v>0.2</v>
      </c>
      <c r="L184" s="467">
        <f t="shared" si="158"/>
        <v>330541.112000001</v>
      </c>
      <c r="M184" s="467">
        <f t="shared" si="159"/>
        <v>530541.112000001</v>
      </c>
      <c r="N184" s="467">
        <f t="shared" si="160"/>
        <v>654428.552000001</v>
      </c>
      <c r="O184" s="467">
        <f t="shared" si="161"/>
        <v>1122164.448</v>
      </c>
      <c r="P184" s="467">
        <f t="shared" si="162"/>
        <v>21000</v>
      </c>
      <c r="Q184" s="467">
        <f t="shared" si="163"/>
        <v>33000</v>
      </c>
      <c r="R184" s="467">
        <f t="shared" si="164"/>
        <v>75000</v>
      </c>
      <c r="S184" s="467">
        <f t="shared" si="165"/>
        <v>4211.24512000064</v>
      </c>
      <c r="T184" s="467">
        <f t="shared" si="174"/>
        <v>0</v>
      </c>
      <c r="V184" s="467">
        <f t="shared" si="168"/>
        <v>133211.245120001</v>
      </c>
      <c r="W184" s="474">
        <v>12</v>
      </c>
      <c r="X184" s="467">
        <f t="shared" si="169"/>
        <v>11100.9370933334</v>
      </c>
      <c r="Z184" s="929">
        <f t="shared" si="170"/>
        <v>11100.9370933334</v>
      </c>
      <c r="AA184" s="806">
        <v>5230.0988</v>
      </c>
      <c r="AB184" s="806">
        <f t="shared" si="173"/>
        <v>5870.83829333339</v>
      </c>
    </row>
    <row r="185" ht="15.5" spans="1:28">
      <c r="A185" s="464">
        <v>169</v>
      </c>
      <c r="B185" s="351" t="s">
        <v>405</v>
      </c>
      <c r="C185" s="806">
        <v>148049.416666667</v>
      </c>
      <c r="D185" s="466">
        <v>12</v>
      </c>
      <c r="E185" s="467">
        <f t="shared" si="156"/>
        <v>1776593</v>
      </c>
      <c r="F185" s="620"/>
      <c r="G185" s="487">
        <v>123887.44</v>
      </c>
      <c r="I185" s="486">
        <f t="shared" si="157"/>
        <v>1652705.56</v>
      </c>
      <c r="J185" s="467">
        <v>200000</v>
      </c>
      <c r="K185" s="467">
        <v>0.2</v>
      </c>
      <c r="L185" s="467">
        <f t="shared" si="158"/>
        <v>330541.112000001</v>
      </c>
      <c r="M185" s="467">
        <f t="shared" si="159"/>
        <v>530541.112000001</v>
      </c>
      <c r="N185" s="467">
        <f t="shared" si="160"/>
        <v>654428.552000001</v>
      </c>
      <c r="O185" s="467">
        <f t="shared" si="161"/>
        <v>1122164.448</v>
      </c>
      <c r="P185" s="467">
        <f t="shared" si="162"/>
        <v>21000</v>
      </c>
      <c r="Q185" s="467">
        <f t="shared" si="163"/>
        <v>33000</v>
      </c>
      <c r="R185" s="467">
        <f t="shared" si="164"/>
        <v>75000</v>
      </c>
      <c r="S185" s="467">
        <f t="shared" si="165"/>
        <v>4211.24512000064</v>
      </c>
      <c r="T185" s="467">
        <f t="shared" si="174"/>
        <v>0</v>
      </c>
      <c r="V185" s="467">
        <f t="shared" si="168"/>
        <v>133211.245120001</v>
      </c>
      <c r="W185" s="474">
        <v>12</v>
      </c>
      <c r="X185" s="467">
        <f t="shared" si="169"/>
        <v>11100.9370933334</v>
      </c>
      <c r="Z185" s="929">
        <f t="shared" si="170"/>
        <v>11100.9370933334</v>
      </c>
      <c r="AA185" s="806">
        <v>5230.0988</v>
      </c>
      <c r="AB185" s="806">
        <f t="shared" si="173"/>
        <v>5870.83829333339</v>
      </c>
    </row>
    <row r="186" ht="15.5" spans="1:28">
      <c r="A186" s="464">
        <v>170</v>
      </c>
      <c r="B186" s="351" t="s">
        <v>406</v>
      </c>
      <c r="C186" s="806">
        <v>162634.666666667</v>
      </c>
      <c r="D186" s="466">
        <v>12</v>
      </c>
      <c r="E186" s="467">
        <f t="shared" si="156"/>
        <v>1951616</v>
      </c>
      <c r="F186" s="620"/>
      <c r="G186" s="487">
        <v>135009.28</v>
      </c>
      <c r="H186" s="489"/>
      <c r="I186" s="486">
        <f t="shared" si="157"/>
        <v>1816606.72</v>
      </c>
      <c r="J186" s="486">
        <v>200000</v>
      </c>
      <c r="K186" s="486">
        <v>0.2</v>
      </c>
      <c r="L186" s="486">
        <f t="shared" si="158"/>
        <v>363321.344000001</v>
      </c>
      <c r="M186" s="486">
        <f t="shared" si="159"/>
        <v>563321.344000001</v>
      </c>
      <c r="N186" s="486">
        <f t="shared" si="160"/>
        <v>698330.624000001</v>
      </c>
      <c r="O186" s="486">
        <f t="shared" si="161"/>
        <v>1253285.376</v>
      </c>
      <c r="P186" s="486">
        <f t="shared" si="162"/>
        <v>21000</v>
      </c>
      <c r="Q186" s="486">
        <f t="shared" si="163"/>
        <v>33000</v>
      </c>
      <c r="R186" s="486">
        <f t="shared" si="164"/>
        <v>75000</v>
      </c>
      <c r="S186" s="486">
        <f t="shared" si="165"/>
        <v>29124.2214400007</v>
      </c>
      <c r="T186" s="467">
        <f t="shared" si="174"/>
        <v>0</v>
      </c>
      <c r="V186" s="486">
        <f t="shared" si="168"/>
        <v>158124.221440001</v>
      </c>
      <c r="W186" s="500">
        <v>12</v>
      </c>
      <c r="X186" s="486">
        <f t="shared" si="169"/>
        <v>13177.0184533334</v>
      </c>
      <c r="Z186" s="934">
        <f t="shared" si="170"/>
        <v>13177.0184533334</v>
      </c>
      <c r="AA186" s="806">
        <v>6689.876</v>
      </c>
      <c r="AB186" s="806">
        <f t="shared" si="173"/>
        <v>6487.14245333339</v>
      </c>
    </row>
    <row r="187" ht="22" customHeight="1" spans="1:28">
      <c r="A187" s="464">
        <v>171</v>
      </c>
      <c r="B187" s="351" t="s">
        <v>409</v>
      </c>
      <c r="C187" s="806">
        <v>162634.666666667</v>
      </c>
      <c r="D187" s="466">
        <v>12</v>
      </c>
      <c r="E187" s="467">
        <f t="shared" si="156"/>
        <v>1951616</v>
      </c>
      <c r="F187" s="620"/>
      <c r="G187" s="487">
        <v>135009.28</v>
      </c>
      <c r="H187" s="489"/>
      <c r="I187" s="486">
        <f t="shared" si="157"/>
        <v>1816606.72</v>
      </c>
      <c r="J187" s="486">
        <v>200000</v>
      </c>
      <c r="K187" s="486">
        <v>0.2</v>
      </c>
      <c r="L187" s="486">
        <f t="shared" si="158"/>
        <v>363321.344000001</v>
      </c>
      <c r="M187" s="486">
        <f t="shared" si="159"/>
        <v>563321.344000001</v>
      </c>
      <c r="N187" s="486">
        <f t="shared" si="160"/>
        <v>698330.624000001</v>
      </c>
      <c r="O187" s="486">
        <f t="shared" si="161"/>
        <v>1253285.376</v>
      </c>
      <c r="P187" s="486">
        <f t="shared" si="162"/>
        <v>21000</v>
      </c>
      <c r="Q187" s="486">
        <f t="shared" si="163"/>
        <v>33000</v>
      </c>
      <c r="R187" s="486">
        <f t="shared" si="164"/>
        <v>75000</v>
      </c>
      <c r="S187" s="486">
        <f t="shared" si="165"/>
        <v>29124.2214400007</v>
      </c>
      <c r="T187" s="467">
        <f t="shared" si="174"/>
        <v>0</v>
      </c>
      <c r="V187" s="486">
        <f t="shared" si="168"/>
        <v>158124.221440001</v>
      </c>
      <c r="W187" s="500">
        <v>12</v>
      </c>
      <c r="X187" s="486">
        <f t="shared" si="169"/>
        <v>13177.0184533334</v>
      </c>
      <c r="Z187" s="934">
        <f t="shared" si="170"/>
        <v>13177.0184533334</v>
      </c>
      <c r="AA187" s="806">
        <v>6689.876</v>
      </c>
      <c r="AB187" s="806">
        <f t="shared" si="173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120</v>
      </c>
      <c r="W188" s="618"/>
      <c r="X188" s="933">
        <f>SUM(X6:X187)</f>
        <v>13880120.2985</v>
      </c>
      <c r="Y188" s="933"/>
      <c r="Z188" s="935">
        <f>SUM(Z6:Z187)</f>
        <v>13880120.2985</v>
      </c>
      <c r="AA188" s="935">
        <f>SUM(AA6:AA187)</f>
        <v>10905235.8361748</v>
      </c>
      <c r="AB188" s="936">
        <f>SUM(AB6:AB187)</f>
        <v>2974884.46232517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zoomScale="89" zoomScaleNormal="89" zoomScaleSheetLayoutView="50" workbookViewId="0">
      <pane xSplit="3" ySplit="8" topLeftCell="D19" activePane="bottomRight" state="frozen"/>
      <selection/>
      <selection pane="topRight"/>
      <selection pane="bottomLeft"/>
      <selection pane="bottomRight" activeCell="H22" sqref="H22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10" width="19.6363636363636" style="1" customWidth="1"/>
    <col min="11" max="16384" width="9.13636363636364" style="1"/>
  </cols>
  <sheetData>
    <row r="1" ht="27" customHeight="1" spans="1:10">
      <c r="A1" s="898" t="s">
        <v>0</v>
      </c>
      <c r="B1" s="898"/>
      <c r="C1" s="898"/>
      <c r="D1" s="898"/>
      <c r="E1" s="898"/>
      <c r="F1" s="899"/>
      <c r="G1" s="217"/>
      <c r="H1" s="217"/>
      <c r="I1" s="217"/>
      <c r="J1" s="217"/>
    </row>
    <row r="2" ht="33.75" customHeight="1" spans="1:10">
      <c r="A2" s="898" t="s">
        <v>605</v>
      </c>
      <c r="B2" s="901"/>
      <c r="C2" s="898"/>
      <c r="D2" s="898"/>
      <c r="E2" s="902"/>
      <c r="F2" s="903"/>
      <c r="G2" s="299"/>
      <c r="H2" s="299"/>
      <c r="I2" s="299"/>
      <c r="J2" s="299"/>
    </row>
    <row r="3" ht="9.75" customHeight="1" spans="1:10">
      <c r="A3" s="4"/>
      <c r="B3" s="4"/>
      <c r="C3" s="4"/>
      <c r="D3" s="4"/>
      <c r="E3" s="900" t="e">
        <f>'[1]FEB 08'!E11/'[1]FEB 08'!M11</f>
        <v>#REF!</v>
      </c>
      <c r="F3" s="905"/>
      <c r="G3" s="217"/>
      <c r="H3" s="217"/>
      <c r="I3" s="217"/>
      <c r="J3" s="217"/>
    </row>
    <row r="4" ht="49.5" customHeight="1" spans="1:10">
      <c r="A4" s="4"/>
      <c r="B4" s="5" t="s">
        <v>2</v>
      </c>
      <c r="C4" s="6" t="s">
        <v>3</v>
      </c>
      <c r="D4" s="7" t="s">
        <v>4</v>
      </c>
      <c r="E4" s="218" t="s">
        <v>516</v>
      </c>
      <c r="F4" s="906" t="s">
        <v>490</v>
      </c>
      <c r="G4" s="914" t="s">
        <v>523</v>
      </c>
      <c r="H4" s="914" t="s">
        <v>524</v>
      </c>
      <c r="I4" s="914" t="s">
        <v>499</v>
      </c>
      <c r="J4" s="914" t="s">
        <v>526</v>
      </c>
    </row>
    <row r="5" ht="17.25" customHeight="1" spans="1:10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</row>
    <row r="6" ht="17.25" customHeight="1" spans="1:10">
      <c r="A6" s="4"/>
      <c r="B6" s="4"/>
      <c r="C6" s="8"/>
      <c r="D6" s="8"/>
      <c r="E6" s="10" t="s">
        <v>527</v>
      </c>
      <c r="F6" s="908" t="s">
        <v>528</v>
      </c>
      <c r="G6" s="915" t="s">
        <v>535</v>
      </c>
      <c r="H6" s="915" t="s">
        <v>536</v>
      </c>
      <c r="I6" s="915" t="s">
        <v>537</v>
      </c>
      <c r="J6" s="915" t="s">
        <v>539</v>
      </c>
    </row>
    <row r="7" customHeight="1" spans="1:10">
      <c r="A7" s="9" t="s">
        <v>21</v>
      </c>
      <c r="B7" s="8" t="s">
        <v>22</v>
      </c>
      <c r="C7" s="8"/>
      <c r="D7" s="8"/>
      <c r="E7" s="10"/>
      <c r="F7" s="908"/>
      <c r="G7" s="915"/>
      <c r="H7" s="915" t="s">
        <v>545</v>
      </c>
      <c r="I7" s="915" t="s">
        <v>546</v>
      </c>
      <c r="J7" s="915" t="s">
        <v>546</v>
      </c>
    </row>
    <row r="8" customHeight="1" spans="1:10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916"/>
      <c r="H8" s="916"/>
      <c r="I8" s="916">
        <f t="shared" ref="I8:I38" si="0">H8-G8</f>
        <v>0</v>
      </c>
      <c r="J8" s="916">
        <f t="shared" ref="J8:J38" si="1">H8*12</f>
        <v>0</v>
      </c>
    </row>
    <row r="9" customHeight="1" spans="1:10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916"/>
      <c r="H9" s="916"/>
      <c r="I9" s="916">
        <f t="shared" si="0"/>
        <v>0</v>
      </c>
      <c r="J9" s="916">
        <f t="shared" si="1"/>
        <v>0</v>
      </c>
    </row>
    <row r="10" customHeight="1" spans="1:10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916"/>
      <c r="H10" s="916"/>
      <c r="I10" s="916">
        <f t="shared" si="0"/>
        <v>0</v>
      </c>
      <c r="J10" s="916">
        <f t="shared" si="1"/>
        <v>0</v>
      </c>
    </row>
    <row r="11" customHeight="1" spans="1:10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916">
        <v>10293.3979166667</v>
      </c>
      <c r="H11" s="916">
        <f t="shared" ref="H11:H13" si="2">0.025*F11</f>
        <v>13866.7375</v>
      </c>
      <c r="I11" s="916">
        <f t="shared" si="0"/>
        <v>3573.3395833333</v>
      </c>
      <c r="J11" s="916">
        <f t="shared" si="1"/>
        <v>166400.85</v>
      </c>
    </row>
    <row r="12" customHeight="1" spans="1:10">
      <c r="A12" s="10">
        <v>5</v>
      </c>
      <c r="B12" s="11" t="s">
        <v>33</v>
      </c>
      <c r="C12" s="12" t="s">
        <v>34</v>
      </c>
      <c r="D12" s="15" t="s">
        <v>506</v>
      </c>
      <c r="E12" s="85">
        <v>716034</v>
      </c>
      <c r="F12" s="909">
        <f>'[18] FGN 2024 MGT Monthly'!$H$44</f>
        <v>523386.5</v>
      </c>
      <c r="G12" s="916">
        <v>10293.3979166667</v>
      </c>
      <c r="H12" s="916">
        <f t="shared" si="2"/>
        <v>13084.6625</v>
      </c>
      <c r="I12" s="916">
        <f t="shared" si="0"/>
        <v>2791.2645833333</v>
      </c>
      <c r="J12" s="916">
        <f t="shared" si="1"/>
        <v>157015.95</v>
      </c>
    </row>
    <row r="13" customHeight="1" spans="1:10">
      <c r="A13" s="10">
        <v>6</v>
      </c>
      <c r="B13" s="11" t="s">
        <v>36</v>
      </c>
      <c r="C13" s="4" t="s">
        <v>37</v>
      </c>
      <c r="D13" s="10" t="s">
        <v>49</v>
      </c>
      <c r="E13" s="85">
        <v>601396.833333333</v>
      </c>
      <c r="F13" s="909">
        <v>445995.833333333</v>
      </c>
      <c r="G13" s="916">
        <v>7859.63125</v>
      </c>
      <c r="H13" s="916">
        <f t="shared" si="2"/>
        <v>11149.8958333333</v>
      </c>
      <c r="I13" s="916">
        <f t="shared" si="0"/>
        <v>3290.2645833333</v>
      </c>
      <c r="J13" s="916">
        <f t="shared" si="1"/>
        <v>133798.75</v>
      </c>
    </row>
    <row r="14" customHeight="1" spans="1:10">
      <c r="A14" s="10">
        <v>7</v>
      </c>
      <c r="B14" s="11" t="s">
        <v>39</v>
      </c>
      <c r="C14" s="4" t="s">
        <v>547</v>
      </c>
      <c r="D14" s="15" t="s">
        <v>189</v>
      </c>
      <c r="E14" s="85">
        <v>484373.75</v>
      </c>
      <c r="F14" s="909">
        <v>366417.5</v>
      </c>
      <c r="G14" s="916"/>
      <c r="H14" s="916"/>
      <c r="I14" s="916">
        <f t="shared" si="0"/>
        <v>0</v>
      </c>
      <c r="J14" s="916">
        <f t="shared" si="1"/>
        <v>0</v>
      </c>
    </row>
    <row r="15" customHeight="1" spans="1:10">
      <c r="A15" s="10">
        <v>8</v>
      </c>
      <c r="B15" s="14" t="s">
        <v>42</v>
      </c>
      <c r="C15" s="17" t="s">
        <v>43</v>
      </c>
      <c r="D15" s="15" t="s">
        <v>49</v>
      </c>
      <c r="E15" s="85">
        <v>601396.833333333</v>
      </c>
      <c r="F15" s="909">
        <f>'[18] FGN 2024 MGT Monthly'!$I$43</f>
        <v>445995.833333333</v>
      </c>
      <c r="G15" s="916"/>
      <c r="H15" s="916"/>
      <c r="I15" s="916">
        <f t="shared" si="0"/>
        <v>0</v>
      </c>
      <c r="J15" s="916">
        <f t="shared" si="1"/>
        <v>0</v>
      </c>
    </row>
    <row r="16" customHeight="1" spans="1:10">
      <c r="A16" s="10">
        <v>9</v>
      </c>
      <c r="B16" s="11" t="s">
        <v>44</v>
      </c>
      <c r="C16" s="4" t="s">
        <v>45</v>
      </c>
      <c r="D16" s="10" t="s">
        <v>212</v>
      </c>
      <c r="E16" s="85">
        <v>456622.25</v>
      </c>
      <c r="F16" s="909">
        <v>347715.916666667</v>
      </c>
      <c r="G16" s="916"/>
      <c r="H16" s="916"/>
      <c r="I16" s="916">
        <f t="shared" si="0"/>
        <v>0</v>
      </c>
      <c r="J16" s="916">
        <f t="shared" si="1"/>
        <v>0</v>
      </c>
    </row>
    <row r="17" customHeight="1" spans="1:10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916"/>
      <c r="H17" s="916"/>
      <c r="I17" s="916">
        <f t="shared" si="0"/>
        <v>0</v>
      </c>
      <c r="J17" s="916">
        <f t="shared" si="1"/>
        <v>0</v>
      </c>
    </row>
    <row r="18" customHeight="1" spans="1:10">
      <c r="A18" s="10">
        <v>11</v>
      </c>
      <c r="B18" s="11" t="s">
        <v>50</v>
      </c>
      <c r="C18" s="12" t="s">
        <v>60</v>
      </c>
      <c r="D18" s="15" t="s">
        <v>55</v>
      </c>
      <c r="E18" s="85">
        <v>441804.916666667</v>
      </c>
      <c r="F18" s="909">
        <v>337730.833333333</v>
      </c>
      <c r="G18" s="916"/>
      <c r="H18" s="916"/>
      <c r="I18" s="916">
        <f t="shared" si="0"/>
        <v>0</v>
      </c>
      <c r="J18" s="916">
        <f t="shared" si="1"/>
        <v>0</v>
      </c>
    </row>
    <row r="19" customHeight="1" spans="1:10">
      <c r="A19" s="10">
        <v>12</v>
      </c>
      <c r="B19" s="18" t="s">
        <v>53</v>
      </c>
      <c r="C19" s="4" t="s">
        <v>54</v>
      </c>
      <c r="D19" s="15" t="s">
        <v>548</v>
      </c>
      <c r="E19" s="85">
        <v>428915.916666667</v>
      </c>
      <c r="F19" s="909">
        <v>329044.916666667</v>
      </c>
      <c r="G19" s="916">
        <v>5607.17708333333</v>
      </c>
      <c r="H19" s="916">
        <f t="shared" ref="H19:H22" si="3">0.025*F19</f>
        <v>8226.12291666667</v>
      </c>
      <c r="I19" s="916">
        <f t="shared" si="0"/>
        <v>2618.94583333334</v>
      </c>
      <c r="J19" s="916">
        <f t="shared" si="1"/>
        <v>98713.475</v>
      </c>
    </row>
    <row r="20" customHeight="1" spans="1:10">
      <c r="A20" s="10">
        <v>13</v>
      </c>
      <c r="B20" s="18" t="s">
        <v>56</v>
      </c>
      <c r="C20" s="4" t="s">
        <v>57</v>
      </c>
      <c r="D20" s="15" t="s">
        <v>503</v>
      </c>
      <c r="E20" s="676">
        <v>403138</v>
      </c>
      <c r="F20" s="909">
        <v>311673.25</v>
      </c>
      <c r="G20" s="916">
        <v>5967.30625</v>
      </c>
      <c r="H20" s="916">
        <f t="shared" si="3"/>
        <v>7791.83125</v>
      </c>
      <c r="I20" s="916">
        <f t="shared" si="0"/>
        <v>1824.525</v>
      </c>
      <c r="J20" s="916">
        <f t="shared" si="1"/>
        <v>93501.975</v>
      </c>
    </row>
    <row r="21" customHeight="1" spans="1:10">
      <c r="A21" s="10">
        <v>14</v>
      </c>
      <c r="B21" s="18" t="s">
        <v>59</v>
      </c>
      <c r="C21" s="4" t="s">
        <v>60</v>
      </c>
      <c r="D21" s="15" t="s">
        <v>503</v>
      </c>
      <c r="E21" s="676">
        <v>403138</v>
      </c>
      <c r="F21" s="909">
        <v>311673.25</v>
      </c>
      <c r="G21" s="916"/>
      <c r="H21" s="916"/>
      <c r="I21" s="916">
        <f t="shared" si="0"/>
        <v>0</v>
      </c>
      <c r="J21" s="916">
        <f t="shared" si="1"/>
        <v>0</v>
      </c>
    </row>
    <row r="22" customHeight="1" spans="1:10">
      <c r="A22" s="10">
        <v>15</v>
      </c>
      <c r="B22" s="11" t="s">
        <v>61</v>
      </c>
      <c r="C22" s="12" t="s">
        <v>549</v>
      </c>
      <c r="D22" s="15" t="s">
        <v>259</v>
      </c>
      <c r="E22" s="85">
        <v>402278</v>
      </c>
      <c r="F22" s="909">
        <f>'[18] FGN 2024 MGT Monthly'!$L$40</f>
        <v>311094.416666667</v>
      </c>
      <c r="G22" s="916">
        <v>5257.5625</v>
      </c>
      <c r="H22" s="916">
        <f t="shared" si="3"/>
        <v>7777.36041666667</v>
      </c>
      <c r="I22" s="916">
        <f t="shared" si="0"/>
        <v>2519.79791666667</v>
      </c>
      <c r="J22" s="916">
        <f t="shared" si="1"/>
        <v>93328.325</v>
      </c>
    </row>
    <row r="23" ht="18.75" customHeight="1" spans="1:10">
      <c r="A23" s="10">
        <v>16</v>
      </c>
      <c r="B23" s="11" t="s">
        <v>64</v>
      </c>
      <c r="C23" s="12" t="s">
        <v>176</v>
      </c>
      <c r="D23" s="15" t="s">
        <v>170</v>
      </c>
      <c r="E23" s="85">
        <v>390086.5</v>
      </c>
      <c r="F23" s="909">
        <v>302878.666666667</v>
      </c>
      <c r="G23" s="916"/>
      <c r="H23" s="916"/>
      <c r="I23" s="916">
        <f t="shared" si="0"/>
        <v>0</v>
      </c>
      <c r="J23" s="916">
        <f t="shared" si="1"/>
        <v>0</v>
      </c>
    </row>
    <row r="24" customHeight="1" spans="1:10">
      <c r="A24" s="10">
        <v>17</v>
      </c>
      <c r="B24" s="14" t="s">
        <v>67</v>
      </c>
      <c r="C24" s="17" t="s">
        <v>68</v>
      </c>
      <c r="D24" s="10" t="s">
        <v>131</v>
      </c>
      <c r="E24" s="85">
        <v>365704</v>
      </c>
      <c r="F24" s="909">
        <v>286447.083333333</v>
      </c>
      <c r="G24" s="916"/>
      <c r="H24" s="916"/>
      <c r="I24" s="916">
        <f t="shared" si="0"/>
        <v>0</v>
      </c>
      <c r="J24" s="916">
        <f t="shared" si="1"/>
        <v>0</v>
      </c>
    </row>
    <row r="25" ht="21.6" customHeight="1" spans="1:10">
      <c r="A25" s="10">
        <v>18</v>
      </c>
      <c r="B25" s="11" t="s">
        <v>70</v>
      </c>
      <c r="C25" s="17" t="s">
        <v>71</v>
      </c>
      <c r="D25" s="15" t="s">
        <v>131</v>
      </c>
      <c r="E25" s="85">
        <v>365704</v>
      </c>
      <c r="F25" s="909">
        <v>286447.083333333</v>
      </c>
      <c r="G25" s="916"/>
      <c r="H25" s="916"/>
      <c r="I25" s="916">
        <f t="shared" si="0"/>
        <v>0</v>
      </c>
      <c r="J25" s="916">
        <f t="shared" si="1"/>
        <v>0</v>
      </c>
    </row>
    <row r="26" customHeight="1" spans="1:10">
      <c r="A26" s="10">
        <v>19</v>
      </c>
      <c r="B26" s="14" t="s">
        <v>72</v>
      </c>
      <c r="C26" s="17" t="s">
        <v>73</v>
      </c>
      <c r="D26" s="10" t="s">
        <v>80</v>
      </c>
      <c r="E26" s="85">
        <v>293029.666666667</v>
      </c>
      <c r="F26" s="909">
        <v>240874.583333333</v>
      </c>
      <c r="G26" s="916"/>
      <c r="H26" s="916"/>
      <c r="I26" s="916">
        <f t="shared" si="0"/>
        <v>0</v>
      </c>
      <c r="J26" s="916">
        <f t="shared" si="1"/>
        <v>0</v>
      </c>
    </row>
    <row r="27" customHeight="1" spans="1:10">
      <c r="A27" s="10">
        <v>20</v>
      </c>
      <c r="B27" s="14" t="s">
        <v>75</v>
      </c>
      <c r="C27" s="17" t="s">
        <v>76</v>
      </c>
      <c r="D27" s="10" t="s">
        <v>74</v>
      </c>
      <c r="E27" s="85">
        <v>300965.583333333</v>
      </c>
      <c r="F27" s="909">
        <v>240874.583333333</v>
      </c>
      <c r="G27" s="916"/>
      <c r="H27" s="916"/>
      <c r="I27" s="916">
        <f t="shared" si="0"/>
        <v>0</v>
      </c>
      <c r="J27" s="916">
        <f t="shared" si="1"/>
        <v>0</v>
      </c>
    </row>
    <row r="28" ht="18.75" customHeight="1" spans="1:10">
      <c r="A28" s="10">
        <v>21</v>
      </c>
      <c r="B28" s="4" t="s">
        <v>485</v>
      </c>
      <c r="C28" s="4" t="s">
        <v>94</v>
      </c>
      <c r="D28" s="10" t="s">
        <v>85</v>
      </c>
      <c r="E28" s="85">
        <v>277798</v>
      </c>
      <c r="F28" s="909">
        <v>227615.75</v>
      </c>
      <c r="G28" s="916"/>
      <c r="H28" s="916"/>
      <c r="I28" s="916">
        <f t="shared" si="0"/>
        <v>0</v>
      </c>
      <c r="J28" s="916">
        <f t="shared" si="1"/>
        <v>0</v>
      </c>
    </row>
    <row r="29" ht="18.75" customHeight="1" spans="1:10">
      <c r="A29" s="10">
        <v>22</v>
      </c>
      <c r="B29" s="18" t="s">
        <v>78</v>
      </c>
      <c r="C29" s="12" t="s">
        <v>94</v>
      </c>
      <c r="D29" s="15" t="s">
        <v>85</v>
      </c>
      <c r="E29" s="85">
        <v>277798</v>
      </c>
      <c r="F29" s="909">
        <v>227615.75</v>
      </c>
      <c r="G29" s="916"/>
      <c r="H29" s="916"/>
      <c r="I29" s="916">
        <f t="shared" si="0"/>
        <v>0</v>
      </c>
      <c r="J29" s="916">
        <f t="shared" si="1"/>
        <v>0</v>
      </c>
    </row>
    <row r="30" customHeight="1" spans="1:10">
      <c r="A30" s="10">
        <v>23</v>
      </c>
      <c r="B30" s="11" t="s">
        <v>81</v>
      </c>
      <c r="C30" s="17" t="s">
        <v>68</v>
      </c>
      <c r="D30" s="10" t="s">
        <v>85</v>
      </c>
      <c r="E30" s="85">
        <v>277798</v>
      </c>
      <c r="F30" s="909">
        <v>227615.75</v>
      </c>
      <c r="G30" s="916"/>
      <c r="H30" s="916"/>
      <c r="I30" s="916">
        <f t="shared" si="0"/>
        <v>0</v>
      </c>
      <c r="J30" s="916">
        <f t="shared" si="1"/>
        <v>0</v>
      </c>
    </row>
    <row r="31" ht="18.75" customHeight="1" spans="1:10">
      <c r="A31" s="10">
        <v>24</v>
      </c>
      <c r="B31" s="18" t="s">
        <v>83</v>
      </c>
      <c r="C31" s="12" t="s">
        <v>84</v>
      </c>
      <c r="D31" s="15" t="s">
        <v>88</v>
      </c>
      <c r="E31" s="85">
        <v>270481.666666667</v>
      </c>
      <c r="F31" s="909">
        <v>222674.583333333</v>
      </c>
      <c r="G31" s="916"/>
      <c r="H31" s="916"/>
      <c r="I31" s="916">
        <f t="shared" si="0"/>
        <v>0</v>
      </c>
      <c r="J31" s="916">
        <f t="shared" si="1"/>
        <v>0</v>
      </c>
    </row>
    <row r="32" ht="18.75" customHeight="1" spans="1:10">
      <c r="A32" s="10">
        <v>25</v>
      </c>
      <c r="B32" s="18" t="s">
        <v>86</v>
      </c>
      <c r="C32" s="4" t="s">
        <v>87</v>
      </c>
      <c r="D32" s="10" t="s">
        <v>99</v>
      </c>
      <c r="E32" s="85">
        <v>263165.333333333</v>
      </c>
      <c r="F32" s="909">
        <v>217733.416666667</v>
      </c>
      <c r="G32" s="916"/>
      <c r="H32" s="916"/>
      <c r="I32" s="916">
        <f t="shared" si="0"/>
        <v>0</v>
      </c>
      <c r="J32" s="916">
        <f t="shared" si="1"/>
        <v>0</v>
      </c>
    </row>
    <row r="33" ht="18.75" customHeight="1" spans="1:10">
      <c r="A33" s="10">
        <v>26</v>
      </c>
      <c r="B33" s="18" t="s">
        <v>89</v>
      </c>
      <c r="C33" s="4" t="s">
        <v>87</v>
      </c>
      <c r="D33" s="10" t="s">
        <v>99</v>
      </c>
      <c r="E33" s="85">
        <v>263165.333333333</v>
      </c>
      <c r="F33" s="909">
        <v>217733.416666667</v>
      </c>
      <c r="G33" s="916"/>
      <c r="H33" s="916"/>
      <c r="I33" s="916">
        <f t="shared" si="0"/>
        <v>0</v>
      </c>
      <c r="J33" s="916">
        <f t="shared" si="1"/>
        <v>0</v>
      </c>
    </row>
    <row r="34" ht="18.75" customHeight="1" spans="1:10">
      <c r="A34" s="10">
        <v>27</v>
      </c>
      <c r="B34" s="18" t="s">
        <v>91</v>
      </c>
      <c r="C34" s="17" t="s">
        <v>550</v>
      </c>
      <c r="D34" s="15" t="s">
        <v>85</v>
      </c>
      <c r="E34" s="85">
        <v>277798</v>
      </c>
      <c r="F34" s="909">
        <v>227615.75</v>
      </c>
      <c r="G34" s="916">
        <v>3653.5</v>
      </c>
      <c r="H34" s="916">
        <f>0.025*F34</f>
        <v>5690.39375</v>
      </c>
      <c r="I34" s="916">
        <f t="shared" si="0"/>
        <v>2036.89375</v>
      </c>
      <c r="J34" s="916">
        <f t="shared" si="1"/>
        <v>68284.725</v>
      </c>
    </row>
    <row r="35" ht="18.75" customHeight="1" spans="1:10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09">
        <v>217733.416666667</v>
      </c>
      <c r="G35" s="916"/>
      <c r="H35" s="916"/>
      <c r="I35" s="916">
        <f t="shared" si="0"/>
        <v>0</v>
      </c>
      <c r="J35" s="916">
        <f t="shared" si="1"/>
        <v>0</v>
      </c>
    </row>
    <row r="36" ht="18.75" customHeight="1" spans="1:10">
      <c r="A36" s="10">
        <v>29</v>
      </c>
      <c r="B36" s="18" t="s">
        <v>95</v>
      </c>
      <c r="C36" s="4" t="s">
        <v>551</v>
      </c>
      <c r="D36" s="10" t="s">
        <v>99</v>
      </c>
      <c r="E36" s="85">
        <v>263165.333333333</v>
      </c>
      <c r="F36" s="909">
        <v>217733.416666667</v>
      </c>
      <c r="G36" s="916"/>
      <c r="H36" s="916"/>
      <c r="I36" s="916">
        <f t="shared" si="0"/>
        <v>0</v>
      </c>
      <c r="J36" s="916">
        <f t="shared" si="1"/>
        <v>0</v>
      </c>
    </row>
    <row r="37" ht="18.75" customHeight="1" spans="1:10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09">
        <v>196364.416666667</v>
      </c>
      <c r="G37" s="916"/>
      <c r="H37" s="916"/>
      <c r="I37" s="916">
        <f t="shared" si="0"/>
        <v>0</v>
      </c>
      <c r="J37" s="916">
        <f t="shared" si="1"/>
        <v>0</v>
      </c>
    </row>
    <row r="38" ht="18.75" customHeight="1" spans="1:10">
      <c r="A38" s="10">
        <v>31</v>
      </c>
      <c r="B38" s="18" t="s">
        <v>106</v>
      </c>
      <c r="C38" s="12" t="s">
        <v>107</v>
      </c>
      <c r="D38" s="15" t="s">
        <v>111</v>
      </c>
      <c r="E38" s="676">
        <v>224459.75</v>
      </c>
      <c r="F38" s="909">
        <v>192179.416666667</v>
      </c>
      <c r="G38" s="916"/>
      <c r="H38" s="916"/>
      <c r="I38" s="916">
        <f t="shared" si="0"/>
        <v>0</v>
      </c>
      <c r="J38" s="916">
        <f t="shared" si="1"/>
        <v>0</v>
      </c>
    </row>
    <row r="39" ht="26.25" customHeight="1" spans="1:10">
      <c r="A39" s="10"/>
      <c r="B39" s="20" t="s">
        <v>120</v>
      </c>
      <c r="C39" s="21">
        <v>31</v>
      </c>
      <c r="D39" s="15"/>
      <c r="E39" s="221">
        <f t="shared" ref="E39:J39" si="4">SUM(E8:E38)</f>
        <v>14073003.667</v>
      </c>
      <c r="F39" s="910">
        <f t="shared" si="4"/>
        <v>10664632</v>
      </c>
      <c r="G39" s="221">
        <f t="shared" si="4"/>
        <v>48931.9729166667</v>
      </c>
      <c r="H39" s="221">
        <f t="shared" si="4"/>
        <v>67587.0041666666</v>
      </c>
      <c r="I39" s="221">
        <f t="shared" si="4"/>
        <v>18655.0312499999</v>
      </c>
      <c r="J39" s="221">
        <f t="shared" si="4"/>
        <v>811044.05</v>
      </c>
    </row>
    <row r="40" ht="18.75" customHeight="1" spans="1:10">
      <c r="A40" s="10"/>
      <c r="B40" s="22"/>
      <c r="C40" s="4"/>
      <c r="D40" s="15"/>
      <c r="E40" s="221"/>
      <c r="F40" s="910"/>
      <c r="G40" s="916"/>
      <c r="H40" s="916"/>
      <c r="I40" s="916"/>
      <c r="J40" s="916"/>
    </row>
    <row r="41" ht="18.75" customHeight="1" spans="1:10">
      <c r="A41" s="10"/>
      <c r="B41" s="20" t="s">
        <v>121</v>
      </c>
      <c r="C41" s="4"/>
      <c r="D41" s="15"/>
      <c r="E41" s="85"/>
      <c r="F41" s="909"/>
      <c r="G41" s="916"/>
      <c r="H41" s="916"/>
      <c r="I41" s="916"/>
      <c r="J41" s="916"/>
    </row>
    <row r="42" ht="18.75" customHeight="1" spans="1:10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09">
        <v>1086777.08333333</v>
      </c>
      <c r="G42" s="916"/>
      <c r="H42" s="916"/>
      <c r="I42" s="916">
        <f t="shared" ref="I42:I45" si="5">H42-G42</f>
        <v>0</v>
      </c>
      <c r="J42" s="916"/>
    </row>
    <row r="43" ht="18.75" customHeight="1" spans="1:10">
      <c r="A43" s="10">
        <v>2</v>
      </c>
      <c r="B43" s="18" t="s">
        <v>127</v>
      </c>
      <c r="C43" s="4" t="s">
        <v>128</v>
      </c>
      <c r="D43" s="10" t="s">
        <v>74</v>
      </c>
      <c r="E43" s="85">
        <v>300965.583333333</v>
      </c>
      <c r="F43" s="909">
        <v>240874.583333333</v>
      </c>
      <c r="G43" s="916"/>
      <c r="H43" s="916"/>
      <c r="I43" s="916">
        <f t="shared" si="5"/>
        <v>0</v>
      </c>
      <c r="J43" s="916"/>
    </row>
    <row r="44" ht="18.75" customHeight="1" spans="1:10">
      <c r="A44" s="10">
        <v>3</v>
      </c>
      <c r="B44" s="11" t="s">
        <v>129</v>
      </c>
      <c r="C44" s="4" t="s">
        <v>128</v>
      </c>
      <c r="D44" s="15" t="s">
        <v>77</v>
      </c>
      <c r="E44" s="85">
        <v>308901.5</v>
      </c>
      <c r="F44" s="909">
        <v>246171.166666667</v>
      </c>
      <c r="G44" s="916"/>
      <c r="H44" s="916"/>
      <c r="I44" s="916">
        <f t="shared" si="5"/>
        <v>0</v>
      </c>
      <c r="J44" s="916"/>
    </row>
    <row r="45" ht="18.75" customHeight="1" spans="1:10">
      <c r="A45" s="10">
        <v>4</v>
      </c>
      <c r="B45" s="11" t="s">
        <v>133</v>
      </c>
      <c r="C45" s="4" t="s">
        <v>134</v>
      </c>
      <c r="D45" s="15" t="s">
        <v>99</v>
      </c>
      <c r="E45" s="676">
        <v>263165.333333333</v>
      </c>
      <c r="F45" s="909">
        <v>217733.416666667</v>
      </c>
      <c r="G45" s="916"/>
      <c r="H45" s="916"/>
      <c r="I45" s="916">
        <f t="shared" si="5"/>
        <v>0</v>
      </c>
      <c r="J45" s="916"/>
    </row>
    <row r="46" ht="19.5" customHeight="1" spans="1:10">
      <c r="A46" s="10"/>
      <c r="B46" s="14"/>
      <c r="C46" s="21">
        <v>4</v>
      </c>
      <c r="D46" s="10"/>
      <c r="E46" s="221">
        <f t="shared" ref="E46:J46" si="6">SUM(E42:E45)</f>
        <v>2308752.41666667</v>
      </c>
      <c r="F46" s="910">
        <f t="shared" si="6"/>
        <v>1791556.25</v>
      </c>
      <c r="G46" s="221">
        <f t="shared" si="6"/>
        <v>0</v>
      </c>
      <c r="H46" s="221">
        <f t="shared" si="6"/>
        <v>0</v>
      </c>
      <c r="I46" s="221">
        <f t="shared" si="6"/>
        <v>0</v>
      </c>
      <c r="J46" s="221">
        <f t="shared" si="6"/>
        <v>0</v>
      </c>
    </row>
    <row r="47" customHeight="1" spans="1:10">
      <c r="A47" s="10"/>
      <c r="B47" s="14"/>
      <c r="C47" s="4"/>
      <c r="D47" s="10"/>
      <c r="E47" s="221"/>
      <c r="F47" s="910"/>
      <c r="G47" s="916"/>
      <c r="H47" s="916"/>
      <c r="I47" s="916"/>
      <c r="J47" s="916"/>
    </row>
    <row r="48" customHeight="1" spans="1:10">
      <c r="A48" s="10"/>
      <c r="B48" s="23" t="s">
        <v>137</v>
      </c>
      <c r="C48" s="5"/>
      <c r="D48" s="24"/>
      <c r="E48" s="221"/>
      <c r="F48" s="910"/>
      <c r="G48" s="916"/>
      <c r="H48" s="916"/>
      <c r="I48" s="916"/>
      <c r="J48" s="916"/>
    </row>
    <row r="49" customHeight="1" spans="1:10">
      <c r="A49" s="10">
        <v>1</v>
      </c>
      <c r="B49" s="11" t="s">
        <v>138</v>
      </c>
      <c r="C49" s="4" t="s">
        <v>552</v>
      </c>
      <c r="D49" s="10" t="s">
        <v>35</v>
      </c>
      <c r="E49" s="85">
        <v>762373.166666667</v>
      </c>
      <c r="F49" s="909">
        <v>554669.5</v>
      </c>
      <c r="G49" s="916"/>
      <c r="H49" s="916"/>
      <c r="I49" s="916">
        <f t="shared" ref="I49:I56" si="7">H49-G49</f>
        <v>0</v>
      </c>
      <c r="J49" s="916"/>
    </row>
    <row r="50" customHeight="1" spans="1:10">
      <c r="A50" s="10">
        <v>2</v>
      </c>
      <c r="B50" s="11" t="s">
        <v>141</v>
      </c>
      <c r="C50" s="4" t="s">
        <v>142</v>
      </c>
      <c r="D50" s="10" t="s">
        <v>38</v>
      </c>
      <c r="E50" s="85">
        <v>620675.583333333</v>
      </c>
      <c r="F50" s="909">
        <v>459010.5</v>
      </c>
      <c r="G50" s="916"/>
      <c r="H50" s="916"/>
      <c r="I50" s="916">
        <f t="shared" si="7"/>
        <v>0</v>
      </c>
      <c r="J50" s="916"/>
    </row>
    <row r="51" customHeight="1" spans="1:10">
      <c r="A51" s="10">
        <v>3</v>
      </c>
      <c r="B51" s="11" t="s">
        <v>143</v>
      </c>
      <c r="C51" s="4" t="s">
        <v>142</v>
      </c>
      <c r="D51" s="10" t="s">
        <v>38</v>
      </c>
      <c r="E51" s="85">
        <v>620675.583333333</v>
      </c>
      <c r="F51" s="909">
        <v>459010.5</v>
      </c>
      <c r="G51" s="916">
        <v>8380.22708333333</v>
      </c>
      <c r="H51" s="916">
        <f>0.025*F51</f>
        <v>11475.2625</v>
      </c>
      <c r="I51" s="916">
        <f t="shared" si="7"/>
        <v>3095.03541666667</v>
      </c>
      <c r="J51" s="916">
        <f>H51*12</f>
        <v>137703.15</v>
      </c>
    </row>
    <row r="52" customHeight="1" spans="1:10">
      <c r="A52" s="10">
        <v>4</v>
      </c>
      <c r="B52" s="11" t="s">
        <v>144</v>
      </c>
      <c r="C52" s="4" t="s">
        <v>142</v>
      </c>
      <c r="D52" s="10" t="s">
        <v>49</v>
      </c>
      <c r="E52" s="85">
        <v>601396.833333333</v>
      </c>
      <c r="F52" s="909">
        <v>445995.833333333</v>
      </c>
      <c r="G52" s="916"/>
      <c r="H52" s="916"/>
      <c r="I52" s="916">
        <f t="shared" si="7"/>
        <v>0</v>
      </c>
      <c r="J52" s="916"/>
    </row>
    <row r="53" customHeight="1" spans="1:10">
      <c r="A53" s="10">
        <v>5</v>
      </c>
      <c r="B53" s="14" t="s">
        <v>145</v>
      </c>
      <c r="C53" s="4" t="s">
        <v>142</v>
      </c>
      <c r="D53" s="10" t="s">
        <v>41</v>
      </c>
      <c r="E53" s="85">
        <v>582118.083333333</v>
      </c>
      <c r="F53" s="909">
        <v>432981.083333333</v>
      </c>
      <c r="G53" s="916"/>
      <c r="H53" s="916"/>
      <c r="I53" s="916">
        <f t="shared" si="7"/>
        <v>0</v>
      </c>
      <c r="J53" s="916"/>
    </row>
    <row r="54" customHeight="1" spans="1:10">
      <c r="A54" s="10">
        <v>6</v>
      </c>
      <c r="B54" s="11" t="s">
        <v>149</v>
      </c>
      <c r="C54" s="4" t="s">
        <v>150</v>
      </c>
      <c r="D54" s="10" t="s">
        <v>77</v>
      </c>
      <c r="E54" s="85">
        <v>308901.5</v>
      </c>
      <c r="F54" s="909">
        <v>246171.166666667</v>
      </c>
      <c r="G54" s="916"/>
      <c r="H54" s="916"/>
      <c r="I54" s="916">
        <f t="shared" si="7"/>
        <v>0</v>
      </c>
      <c r="J54" s="916"/>
    </row>
    <row r="55" customHeight="1" spans="1:10">
      <c r="A55" s="10">
        <v>7</v>
      </c>
      <c r="B55" s="11" t="s">
        <v>153</v>
      </c>
      <c r="C55" s="4" t="s">
        <v>150</v>
      </c>
      <c r="D55" s="10" t="s">
        <v>88</v>
      </c>
      <c r="E55" s="85">
        <v>270481.666666667</v>
      </c>
      <c r="F55" s="909">
        <v>222674.583333333</v>
      </c>
      <c r="G55" s="916"/>
      <c r="H55" s="916"/>
      <c r="I55" s="916">
        <f t="shared" si="7"/>
        <v>0</v>
      </c>
      <c r="J55" s="916"/>
    </row>
    <row r="56" customHeight="1" spans="1:10">
      <c r="A56" s="10">
        <v>8</v>
      </c>
      <c r="B56" s="11" t="s">
        <v>154</v>
      </c>
      <c r="C56" s="4" t="s">
        <v>150</v>
      </c>
      <c r="D56" s="10" t="s">
        <v>88</v>
      </c>
      <c r="E56" s="85">
        <v>270481.666666667</v>
      </c>
      <c r="F56" s="909">
        <v>222674.583333333</v>
      </c>
      <c r="G56" s="916"/>
      <c r="H56" s="916"/>
      <c r="I56" s="916">
        <f t="shared" si="7"/>
        <v>0</v>
      </c>
      <c r="J56" s="916"/>
    </row>
    <row r="57" ht="25.5" customHeight="1" spans="1:10">
      <c r="A57" s="10"/>
      <c r="B57" s="20" t="s">
        <v>120</v>
      </c>
      <c r="C57" s="21">
        <v>8</v>
      </c>
      <c r="D57" s="21"/>
      <c r="E57" s="93">
        <f t="shared" ref="E57:J57" si="8">SUM(E49:E56)</f>
        <v>4037104.08333333</v>
      </c>
      <c r="F57" s="912">
        <f t="shared" si="8"/>
        <v>3043187.75</v>
      </c>
      <c r="G57" s="93">
        <f t="shared" si="8"/>
        <v>8380.22708333333</v>
      </c>
      <c r="H57" s="93">
        <f t="shared" si="8"/>
        <v>11475.2625</v>
      </c>
      <c r="I57" s="93">
        <f t="shared" si="8"/>
        <v>3095.03541666667</v>
      </c>
      <c r="J57" s="93">
        <f t="shared" si="8"/>
        <v>137703.15</v>
      </c>
    </row>
    <row r="58" customHeight="1" spans="1:10">
      <c r="A58" s="10"/>
      <c r="B58" s="22"/>
      <c r="C58" s="21"/>
      <c r="D58" s="21"/>
      <c r="E58" s="146"/>
      <c r="F58" s="913"/>
      <c r="G58" s="916"/>
      <c r="H58" s="916"/>
      <c r="I58" s="916"/>
      <c r="J58" s="916"/>
    </row>
    <row r="59" customHeight="1" spans="1:10">
      <c r="A59" s="10"/>
      <c r="B59" s="20" t="s">
        <v>156</v>
      </c>
      <c r="C59" s="21"/>
      <c r="D59" s="21"/>
      <c r="E59" s="146"/>
      <c r="F59" s="913"/>
      <c r="G59" s="916"/>
      <c r="H59" s="916"/>
      <c r="I59" s="916"/>
      <c r="J59" s="916"/>
    </row>
    <row r="60" customHeight="1" spans="1:10">
      <c r="A60" s="10">
        <v>1</v>
      </c>
      <c r="B60" s="11" t="s">
        <v>157</v>
      </c>
      <c r="C60" s="12" t="s">
        <v>158</v>
      </c>
      <c r="D60" s="15" t="s">
        <v>124</v>
      </c>
      <c r="E60" s="85">
        <v>1435720</v>
      </c>
      <c r="F60" s="909">
        <v>1086777.08333333</v>
      </c>
      <c r="G60" s="916"/>
      <c r="H60" s="916"/>
      <c r="I60" s="916">
        <f t="shared" ref="I60:I71" si="9">H60-G60</f>
        <v>0</v>
      </c>
      <c r="J60" s="916"/>
    </row>
    <row r="61" customHeight="1" spans="1:10">
      <c r="A61" s="10">
        <v>2</v>
      </c>
      <c r="B61" s="11" t="s">
        <v>159</v>
      </c>
      <c r="C61" s="12" t="s">
        <v>160</v>
      </c>
      <c r="D61" s="15" t="s">
        <v>161</v>
      </c>
      <c r="E61" s="85">
        <v>620675.583333333</v>
      </c>
      <c r="F61" s="909">
        <v>459010.5</v>
      </c>
      <c r="G61" s="916"/>
      <c r="H61" s="916"/>
      <c r="I61" s="916">
        <f t="shared" si="9"/>
        <v>0</v>
      </c>
      <c r="J61" s="916"/>
    </row>
    <row r="62" customHeight="1" spans="1:10">
      <c r="A62" s="10"/>
      <c r="B62" s="20" t="s">
        <v>120</v>
      </c>
      <c r="C62" s="21">
        <v>2</v>
      </c>
      <c r="D62" s="21"/>
      <c r="E62" s="93">
        <f t="shared" ref="E62:J62" si="10">SUM(E60:E61)</f>
        <v>2056395.58333333</v>
      </c>
      <c r="F62" s="912">
        <f t="shared" si="10"/>
        <v>1545787.58333333</v>
      </c>
      <c r="G62" s="93">
        <f t="shared" si="10"/>
        <v>0</v>
      </c>
      <c r="H62" s="93">
        <f t="shared" si="10"/>
        <v>0</v>
      </c>
      <c r="I62" s="93">
        <f t="shared" si="10"/>
        <v>0</v>
      </c>
      <c r="J62" s="93">
        <f t="shared" si="10"/>
        <v>0</v>
      </c>
    </row>
    <row r="63" customHeight="1" spans="1:10">
      <c r="A63" s="10"/>
      <c r="B63" s="20"/>
      <c r="C63" s="21"/>
      <c r="D63" s="21"/>
      <c r="E63" s="146"/>
      <c r="F63" s="913"/>
      <c r="G63" s="916"/>
      <c r="H63" s="916"/>
      <c r="I63" s="916"/>
      <c r="J63" s="916"/>
    </row>
    <row r="64" customHeight="1" spans="1:10">
      <c r="A64" s="10"/>
      <c r="B64" s="20" t="s">
        <v>162</v>
      </c>
      <c r="C64" s="21"/>
      <c r="D64" s="21"/>
      <c r="E64" s="146"/>
      <c r="F64" s="913"/>
      <c r="G64" s="916"/>
      <c r="H64" s="916"/>
      <c r="I64" s="916"/>
      <c r="J64" s="916"/>
    </row>
    <row r="65" customHeight="1" spans="1:10">
      <c r="A65" s="10">
        <v>1</v>
      </c>
      <c r="B65" s="14" t="s">
        <v>163</v>
      </c>
      <c r="C65" s="4" t="s">
        <v>164</v>
      </c>
      <c r="D65" s="10" t="s">
        <v>35</v>
      </c>
      <c r="E65" s="85">
        <v>762373.166666667</v>
      </c>
      <c r="F65" s="909">
        <v>554669.5</v>
      </c>
      <c r="G65" s="916">
        <v>10293.3979166667</v>
      </c>
      <c r="H65" s="916">
        <f>0.025*F65</f>
        <v>13866.7375</v>
      </c>
      <c r="I65" s="916">
        <f t="shared" si="9"/>
        <v>3573.3395833333</v>
      </c>
      <c r="J65" s="916">
        <f>H65*12</f>
        <v>166400.85</v>
      </c>
    </row>
    <row r="66" customHeight="1" spans="1:10">
      <c r="A66" s="10">
        <v>2</v>
      </c>
      <c r="B66" s="11" t="s">
        <v>165</v>
      </c>
      <c r="C66" s="4" t="s">
        <v>51</v>
      </c>
      <c r="D66" s="10" t="s">
        <v>212</v>
      </c>
      <c r="E66" s="85">
        <v>456622.25</v>
      </c>
      <c r="F66" s="909">
        <v>347715.916666667</v>
      </c>
      <c r="G66" s="916"/>
      <c r="H66" s="916"/>
      <c r="I66" s="916">
        <f t="shared" si="9"/>
        <v>0</v>
      </c>
      <c r="J66" s="916"/>
    </row>
    <row r="67" customHeight="1" spans="1:10">
      <c r="A67" s="10">
        <v>3</v>
      </c>
      <c r="B67" s="11" t="s">
        <v>169</v>
      </c>
      <c r="C67" s="4" t="s">
        <v>150</v>
      </c>
      <c r="D67" s="10" t="s">
        <v>69</v>
      </c>
      <c r="E67" s="85">
        <v>377895.166666667</v>
      </c>
      <c r="F67" s="909">
        <v>294662.916666667</v>
      </c>
      <c r="G67" s="916"/>
      <c r="H67" s="916"/>
      <c r="I67" s="916">
        <f t="shared" si="9"/>
        <v>0</v>
      </c>
      <c r="J67" s="916"/>
    </row>
    <row r="68" customHeight="1" spans="1:10">
      <c r="A68" s="10">
        <v>4</v>
      </c>
      <c r="B68" s="11" t="s">
        <v>171</v>
      </c>
      <c r="C68" s="17" t="s">
        <v>71</v>
      </c>
      <c r="D68" s="10" t="s">
        <v>69</v>
      </c>
      <c r="E68" s="85">
        <v>377895.166666667</v>
      </c>
      <c r="F68" s="909">
        <v>294662.916666667</v>
      </c>
      <c r="G68" s="916"/>
      <c r="H68" s="916"/>
      <c r="I68" s="916">
        <f t="shared" si="9"/>
        <v>0</v>
      </c>
      <c r="J68" s="916"/>
    </row>
    <row r="69" customHeight="1" spans="1:10">
      <c r="A69" s="10">
        <v>5</v>
      </c>
      <c r="B69" s="11" t="s">
        <v>172</v>
      </c>
      <c r="C69" s="17" t="s">
        <v>71</v>
      </c>
      <c r="D69" s="10" t="s">
        <v>69</v>
      </c>
      <c r="E69" s="85">
        <v>377895.166666667</v>
      </c>
      <c r="F69" s="909">
        <v>294662.916666667</v>
      </c>
      <c r="G69" s="916"/>
      <c r="H69" s="916"/>
      <c r="I69" s="916">
        <f t="shared" si="9"/>
        <v>0</v>
      </c>
      <c r="J69" s="916"/>
    </row>
    <row r="70" customHeight="1" spans="1:10">
      <c r="A70" s="10">
        <v>6</v>
      </c>
      <c r="B70" s="11" t="s">
        <v>173</v>
      </c>
      <c r="C70" s="4" t="s">
        <v>553</v>
      </c>
      <c r="D70" s="10" t="s">
        <v>170</v>
      </c>
      <c r="E70" s="457">
        <v>390086.5</v>
      </c>
      <c r="F70" s="909">
        <v>302878.666666667</v>
      </c>
      <c r="G70" s="916"/>
      <c r="H70" s="916"/>
      <c r="I70" s="916">
        <f t="shared" si="9"/>
        <v>0</v>
      </c>
      <c r="J70" s="916"/>
    </row>
    <row r="71" ht="21.6" customHeight="1" spans="1:10">
      <c r="A71" s="10">
        <v>7</v>
      </c>
      <c r="B71" s="11" t="s">
        <v>177</v>
      </c>
      <c r="C71" s="4" t="s">
        <v>150</v>
      </c>
      <c r="D71" s="10" t="s">
        <v>77</v>
      </c>
      <c r="E71" s="220">
        <v>308901.5</v>
      </c>
      <c r="F71" s="909">
        <v>246171.166666667</v>
      </c>
      <c r="G71" s="916"/>
      <c r="H71" s="916"/>
      <c r="I71" s="916">
        <f t="shared" si="9"/>
        <v>0</v>
      </c>
      <c r="J71" s="916"/>
    </row>
    <row r="72" ht="27" customHeight="1" spans="1:10">
      <c r="A72" s="10"/>
      <c r="B72" s="20" t="s">
        <v>120</v>
      </c>
      <c r="C72" s="21">
        <v>7</v>
      </c>
      <c r="D72" s="21"/>
      <c r="E72" s="93">
        <f t="shared" ref="E72:J72" si="11">SUM(E65:E71)</f>
        <v>3051668.91666667</v>
      </c>
      <c r="F72" s="912">
        <f t="shared" si="11"/>
        <v>2335424</v>
      </c>
      <c r="G72" s="93">
        <f t="shared" si="11"/>
        <v>10293.3979166667</v>
      </c>
      <c r="H72" s="93">
        <f t="shared" si="11"/>
        <v>13866.7375</v>
      </c>
      <c r="I72" s="93">
        <f t="shared" si="11"/>
        <v>3573.3395833333</v>
      </c>
      <c r="J72" s="93">
        <f t="shared" si="11"/>
        <v>166400.85</v>
      </c>
    </row>
    <row r="73" customHeight="1" spans="1:10">
      <c r="A73" s="10"/>
      <c r="B73" s="22"/>
      <c r="C73" s="21"/>
      <c r="D73" s="21"/>
      <c r="E73" s="146"/>
      <c r="F73" s="913"/>
      <c r="G73" s="916"/>
      <c r="H73" s="916"/>
      <c r="I73" s="916"/>
      <c r="J73" s="916"/>
    </row>
    <row r="74" customHeight="1" spans="1:10">
      <c r="A74" s="10"/>
      <c r="B74" s="20" t="s">
        <v>180</v>
      </c>
      <c r="C74" s="21"/>
      <c r="D74" s="21"/>
      <c r="E74" s="146"/>
      <c r="F74" s="913"/>
      <c r="G74" s="916"/>
      <c r="H74" s="916"/>
      <c r="I74" s="916"/>
      <c r="J74" s="916"/>
    </row>
    <row r="75" customHeight="1" spans="1:10">
      <c r="A75" s="10">
        <v>1</v>
      </c>
      <c r="B75" s="11" t="s">
        <v>181</v>
      </c>
      <c r="C75" s="4" t="s">
        <v>182</v>
      </c>
      <c r="D75" s="10" t="s">
        <v>124</v>
      </c>
      <c r="E75" s="85">
        <v>1435720</v>
      </c>
      <c r="F75" s="909">
        <v>1086777.08333333</v>
      </c>
      <c r="G75" s="916"/>
      <c r="H75" s="916"/>
      <c r="I75" s="916">
        <f t="shared" ref="I75:I80" si="12">H75-G75</f>
        <v>0</v>
      </c>
      <c r="J75" s="916"/>
    </row>
    <row r="76" customHeight="1" spans="1:10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916"/>
      <c r="H76" s="916"/>
      <c r="I76" s="916">
        <f t="shared" si="12"/>
        <v>0</v>
      </c>
      <c r="J76" s="916"/>
    </row>
    <row r="77" customHeight="1" spans="1:10">
      <c r="A77" s="10">
        <v>3</v>
      </c>
      <c r="B77" s="11" t="s">
        <v>187</v>
      </c>
      <c r="C77" s="4" t="s">
        <v>188</v>
      </c>
      <c r="D77" s="15" t="s">
        <v>46</v>
      </c>
      <c r="E77" s="85">
        <v>470498</v>
      </c>
      <c r="F77" s="909">
        <v>357066.666666667</v>
      </c>
      <c r="G77" s="916">
        <v>6154.32291666667</v>
      </c>
      <c r="H77" s="916">
        <f>0.025*F77</f>
        <v>8926.66666666668</v>
      </c>
      <c r="I77" s="916">
        <f t="shared" si="12"/>
        <v>2772.34375000001</v>
      </c>
      <c r="J77" s="916">
        <f>H77*12</f>
        <v>107120</v>
      </c>
    </row>
    <row r="78" customHeight="1" spans="1:10">
      <c r="A78" s="10">
        <v>4</v>
      </c>
      <c r="B78" s="11" t="s">
        <v>194</v>
      </c>
      <c r="C78" s="4" t="s">
        <v>195</v>
      </c>
      <c r="D78" s="10" t="s">
        <v>131</v>
      </c>
      <c r="E78" s="85">
        <v>365703.833333333</v>
      </c>
      <c r="F78" s="909">
        <v>286447.083333333</v>
      </c>
      <c r="G78" s="916"/>
      <c r="H78" s="916"/>
      <c r="I78" s="916">
        <f t="shared" si="12"/>
        <v>0</v>
      </c>
      <c r="J78" s="916"/>
    </row>
    <row r="79" customHeight="1" spans="1:10">
      <c r="A79" s="10">
        <v>5</v>
      </c>
      <c r="B79" s="11" t="s">
        <v>198</v>
      </c>
      <c r="C79" s="4" t="s">
        <v>179</v>
      </c>
      <c r="D79" s="10" t="s">
        <v>99</v>
      </c>
      <c r="E79" s="85">
        <v>263165.333333333</v>
      </c>
      <c r="F79" s="909">
        <v>222674.583333333</v>
      </c>
      <c r="G79" s="916"/>
      <c r="H79" s="916"/>
      <c r="I79" s="916">
        <f t="shared" si="12"/>
        <v>0</v>
      </c>
      <c r="J79" s="916"/>
    </row>
    <row r="80" customHeight="1" spans="1:10">
      <c r="A80" s="10">
        <v>6</v>
      </c>
      <c r="B80" s="11" t="s">
        <v>200</v>
      </c>
      <c r="C80" s="4" t="s">
        <v>201</v>
      </c>
      <c r="D80" s="10" t="s">
        <v>108</v>
      </c>
      <c r="E80" s="85">
        <v>230631.916666667</v>
      </c>
      <c r="F80" s="909">
        <v>196364.416666667</v>
      </c>
      <c r="G80" s="916"/>
      <c r="H80" s="916"/>
      <c r="I80" s="916">
        <f t="shared" si="12"/>
        <v>0</v>
      </c>
      <c r="J80" s="916"/>
    </row>
    <row r="81" customHeight="1" spans="1:10">
      <c r="A81" s="10"/>
      <c r="B81" s="20" t="s">
        <v>120</v>
      </c>
      <c r="C81" s="21">
        <v>6</v>
      </c>
      <c r="D81" s="21"/>
      <c r="E81" s="93">
        <f t="shared" ref="E81:J81" si="13">SUM(E75:E80)</f>
        <v>3347837.16666667</v>
      </c>
      <c r="F81" s="912">
        <f t="shared" si="13"/>
        <v>2595325.66666666</v>
      </c>
      <c r="G81" s="93">
        <f t="shared" si="13"/>
        <v>6154.32291666667</v>
      </c>
      <c r="H81" s="93">
        <f t="shared" si="13"/>
        <v>8926.66666666668</v>
      </c>
      <c r="I81" s="93">
        <f t="shared" si="13"/>
        <v>2772.34375000001</v>
      </c>
      <c r="J81" s="93">
        <f t="shared" si="13"/>
        <v>107120</v>
      </c>
    </row>
    <row r="82" customHeight="1" spans="1:10">
      <c r="A82" s="10"/>
      <c r="B82" s="20"/>
      <c r="C82" s="21"/>
      <c r="D82" s="21"/>
      <c r="E82" s="146"/>
      <c r="F82" s="913"/>
      <c r="G82" s="916"/>
      <c r="H82" s="916"/>
      <c r="I82" s="916"/>
      <c r="J82" s="916"/>
    </row>
    <row r="83" customHeight="1" spans="1:10">
      <c r="A83" s="10"/>
      <c r="B83" s="20" t="s">
        <v>202</v>
      </c>
      <c r="C83" s="25"/>
      <c r="D83" s="21"/>
      <c r="E83" s="146"/>
      <c r="F83" s="913"/>
      <c r="G83" s="916"/>
      <c r="H83" s="916"/>
      <c r="I83" s="916"/>
      <c r="J83" s="916"/>
    </row>
    <row r="84" customHeight="1" spans="1:10">
      <c r="A84" s="10">
        <v>1</v>
      </c>
      <c r="B84" s="11" t="s">
        <v>203</v>
      </c>
      <c r="C84" s="4" t="s">
        <v>142</v>
      </c>
      <c r="D84" s="10" t="s">
        <v>505</v>
      </c>
      <c r="E84" s="85">
        <f>'[3]Annual &amp; Monthly'!$H$44</f>
        <v>1352042.66666667</v>
      </c>
      <c r="F84" s="909">
        <v>1025768.33333333</v>
      </c>
      <c r="G84" s="916">
        <v>18254.975</v>
      </c>
      <c r="H84" s="916">
        <f>0.025*F84</f>
        <v>25644.2083333333</v>
      </c>
      <c r="I84" s="916">
        <f t="shared" ref="I84:I93" si="14">H84-G84</f>
        <v>7389.23333333325</v>
      </c>
      <c r="J84" s="916">
        <f>H84*12</f>
        <v>307730.499999999</v>
      </c>
    </row>
    <row r="85" customHeight="1" spans="1:10">
      <c r="A85" s="10">
        <v>2</v>
      </c>
      <c r="B85" s="11" t="s">
        <v>205</v>
      </c>
      <c r="C85" s="4" t="s">
        <v>206</v>
      </c>
      <c r="D85" s="10" t="s">
        <v>506</v>
      </c>
      <c r="E85" s="85">
        <v>716034</v>
      </c>
      <c r="F85" s="909">
        <v>523386.5</v>
      </c>
      <c r="G85" s="916"/>
      <c r="H85" s="916"/>
      <c r="I85" s="916">
        <f t="shared" si="14"/>
        <v>0</v>
      </c>
      <c r="J85" s="916"/>
    </row>
    <row r="86" customHeight="1" spans="1:10">
      <c r="A86" s="10">
        <v>3</v>
      </c>
      <c r="B86" s="11" t="s">
        <v>208</v>
      </c>
      <c r="C86" s="4" t="s">
        <v>142</v>
      </c>
      <c r="D86" s="10" t="s">
        <v>49</v>
      </c>
      <c r="E86" s="85">
        <v>601396.833333333</v>
      </c>
      <c r="F86" s="909">
        <v>445995.833333333</v>
      </c>
      <c r="G86" s="916"/>
      <c r="H86" s="916"/>
      <c r="I86" s="916">
        <f t="shared" si="14"/>
        <v>0</v>
      </c>
      <c r="J86" s="916"/>
    </row>
    <row r="87" ht="21.6" customHeight="1" spans="1:10">
      <c r="A87" s="10">
        <v>4</v>
      </c>
      <c r="B87" s="11" t="s">
        <v>209</v>
      </c>
      <c r="C87" s="4" t="s">
        <v>51</v>
      </c>
      <c r="D87" s="15" t="s">
        <v>212</v>
      </c>
      <c r="E87" s="85">
        <v>456622.25</v>
      </c>
      <c r="F87" s="909">
        <v>442746.5</v>
      </c>
      <c r="G87" s="916"/>
      <c r="H87" s="916"/>
      <c r="I87" s="916">
        <f t="shared" si="14"/>
        <v>0</v>
      </c>
      <c r="J87" s="916"/>
    </row>
    <row r="88" ht="21.6" customHeight="1" spans="1:10">
      <c r="A88" s="10">
        <v>5</v>
      </c>
      <c r="B88" s="11" t="s">
        <v>210</v>
      </c>
      <c r="C88" s="4" t="s">
        <v>51</v>
      </c>
      <c r="D88" s="15" t="s">
        <v>212</v>
      </c>
      <c r="E88" s="85">
        <v>456622.25</v>
      </c>
      <c r="F88" s="909">
        <v>442746.5</v>
      </c>
      <c r="G88" s="916"/>
      <c r="H88" s="916"/>
      <c r="I88" s="916">
        <f t="shared" si="14"/>
        <v>0</v>
      </c>
      <c r="J88" s="916"/>
    </row>
    <row r="89" ht="21.6" customHeight="1" spans="1:10">
      <c r="A89" s="10">
        <v>6</v>
      </c>
      <c r="B89" s="11" t="s">
        <v>211</v>
      </c>
      <c r="C89" s="12" t="s">
        <v>51</v>
      </c>
      <c r="D89" s="15" t="s">
        <v>52</v>
      </c>
      <c r="E89" s="85">
        <v>442746.5</v>
      </c>
      <c r="F89" s="909">
        <v>428870.75</v>
      </c>
      <c r="G89" s="916"/>
      <c r="H89" s="916"/>
      <c r="I89" s="916">
        <f t="shared" si="14"/>
        <v>0</v>
      </c>
      <c r="J89" s="916"/>
    </row>
    <row r="90" ht="21.6" customHeight="1" spans="1:10">
      <c r="A90" s="10">
        <v>7</v>
      </c>
      <c r="B90" s="11" t="s">
        <v>213</v>
      </c>
      <c r="C90" s="17" t="s">
        <v>71</v>
      </c>
      <c r="D90" s="15" t="s">
        <v>69</v>
      </c>
      <c r="E90" s="85">
        <v>377895.166666667</v>
      </c>
      <c r="F90" s="909">
        <v>294662.916666667</v>
      </c>
      <c r="G90" s="916"/>
      <c r="H90" s="916"/>
      <c r="I90" s="916">
        <f t="shared" si="14"/>
        <v>0</v>
      </c>
      <c r="J90" s="916"/>
    </row>
    <row r="91" ht="21.6" customHeight="1" spans="1:10">
      <c r="A91" s="10">
        <v>8</v>
      </c>
      <c r="B91" s="11" t="s">
        <v>214</v>
      </c>
      <c r="C91" s="17" t="s">
        <v>167</v>
      </c>
      <c r="D91" s="15" t="s">
        <v>63</v>
      </c>
      <c r="E91" s="85">
        <v>403137.916666667</v>
      </c>
      <c r="F91" s="909">
        <v>311673.25</v>
      </c>
      <c r="G91" s="916">
        <v>5259.74375</v>
      </c>
      <c r="H91" s="916">
        <f>0.025*F91</f>
        <v>7791.83125</v>
      </c>
      <c r="I91" s="916">
        <f t="shared" si="14"/>
        <v>2532.0875</v>
      </c>
      <c r="J91" s="916">
        <f>H91*12</f>
        <v>93501.975</v>
      </c>
    </row>
    <row r="92" ht="21.6" customHeight="1" spans="1:10">
      <c r="A92" s="10">
        <v>9</v>
      </c>
      <c r="B92" s="11" t="s">
        <v>217</v>
      </c>
      <c r="C92" s="4" t="s">
        <v>218</v>
      </c>
      <c r="D92" s="10" t="s">
        <v>77</v>
      </c>
      <c r="E92" s="220">
        <v>308901.5</v>
      </c>
      <c r="F92" s="909">
        <v>246171.166666667</v>
      </c>
      <c r="G92" s="916"/>
      <c r="H92" s="916"/>
      <c r="I92" s="916">
        <f t="shared" si="14"/>
        <v>0</v>
      </c>
      <c r="J92" s="916"/>
    </row>
    <row r="93" ht="21.6" customHeight="1" spans="1:10">
      <c r="A93" s="10">
        <v>10</v>
      </c>
      <c r="B93" s="11" t="s">
        <v>221</v>
      </c>
      <c r="C93" s="17" t="s">
        <v>222</v>
      </c>
      <c r="D93" s="15" t="s">
        <v>105</v>
      </c>
      <c r="E93" s="220">
        <v>236804.083333333</v>
      </c>
      <c r="F93" s="909">
        <v>200549.416666667</v>
      </c>
      <c r="G93" s="916"/>
      <c r="H93" s="916"/>
      <c r="I93" s="916">
        <f t="shared" si="14"/>
        <v>0</v>
      </c>
      <c r="J93" s="916"/>
    </row>
    <row r="94" customHeight="1" spans="1:10">
      <c r="A94" s="10"/>
      <c r="B94" s="20" t="s">
        <v>120</v>
      </c>
      <c r="C94" s="21">
        <v>10</v>
      </c>
      <c r="D94" s="21"/>
      <c r="E94" s="93">
        <f t="shared" ref="E94:J94" si="15">SUM(E84:E93)</f>
        <v>5352203.16666667</v>
      </c>
      <c r="F94" s="912">
        <f t="shared" si="15"/>
        <v>4362571.16666666</v>
      </c>
      <c r="G94" s="93">
        <f t="shared" si="15"/>
        <v>23514.71875</v>
      </c>
      <c r="H94" s="93">
        <f t="shared" si="15"/>
        <v>33436.0395833333</v>
      </c>
      <c r="I94" s="93">
        <f t="shared" si="15"/>
        <v>9921.32083333325</v>
      </c>
      <c r="J94" s="93">
        <f t="shared" si="15"/>
        <v>401232.474999999</v>
      </c>
    </row>
    <row r="95" customHeight="1" spans="1:10">
      <c r="A95" s="10"/>
      <c r="B95" s="22"/>
      <c r="C95" s="21"/>
      <c r="D95" s="21"/>
      <c r="E95" s="146"/>
      <c r="F95" s="913"/>
      <c r="G95" s="916"/>
      <c r="H95" s="916"/>
      <c r="I95" s="916"/>
      <c r="J95" s="916"/>
    </row>
    <row r="96" customHeight="1" spans="1:10">
      <c r="A96" s="10"/>
      <c r="B96" s="20" t="s">
        <v>224</v>
      </c>
      <c r="C96" s="21"/>
      <c r="D96" s="21"/>
      <c r="E96" s="146"/>
      <c r="F96" s="913"/>
      <c r="G96" s="916"/>
      <c r="H96" s="916"/>
      <c r="I96" s="916"/>
      <c r="J96" s="916"/>
    </row>
    <row r="97" customHeight="1" spans="1:10">
      <c r="A97" s="10">
        <v>1</v>
      </c>
      <c r="B97" s="14" t="s">
        <v>225</v>
      </c>
      <c r="C97" s="4" t="s">
        <v>554</v>
      </c>
      <c r="D97" s="16" t="s">
        <v>140</v>
      </c>
      <c r="E97" s="85">
        <v>1393881.33333333</v>
      </c>
      <c r="F97" s="909">
        <v>1056272.83333333</v>
      </c>
      <c r="G97" s="916">
        <v>18254.975</v>
      </c>
      <c r="H97" s="916">
        <f>0.025*F97</f>
        <v>26406.8208333333</v>
      </c>
      <c r="I97" s="916">
        <f t="shared" ref="I97:I101" si="16">H97-G97</f>
        <v>8151.84583333325</v>
      </c>
      <c r="J97" s="916">
        <f t="shared" ref="J97:J101" si="17">H97*12</f>
        <v>316881.849999999</v>
      </c>
    </row>
    <row r="98" customHeight="1" spans="1:10">
      <c r="A98" s="10">
        <v>2</v>
      </c>
      <c r="B98" s="11" t="s">
        <v>227</v>
      </c>
      <c r="C98" s="4" t="s">
        <v>228</v>
      </c>
      <c r="D98" s="15" t="s">
        <v>46</v>
      </c>
      <c r="E98" s="85">
        <v>470498</v>
      </c>
      <c r="F98" s="909">
        <v>357066.666666667</v>
      </c>
      <c r="G98" s="916"/>
      <c r="H98" s="916"/>
      <c r="I98" s="916">
        <f t="shared" si="16"/>
        <v>0</v>
      </c>
      <c r="J98" s="916">
        <f t="shared" si="17"/>
        <v>0</v>
      </c>
    </row>
    <row r="99" customHeight="1" spans="1:10">
      <c r="A99" s="10">
        <v>3</v>
      </c>
      <c r="B99" s="11" t="s">
        <v>229</v>
      </c>
      <c r="C99" s="12" t="s">
        <v>230</v>
      </c>
      <c r="D99" s="15" t="s">
        <v>63</v>
      </c>
      <c r="E99" s="85">
        <v>403137.916666667</v>
      </c>
      <c r="F99" s="909">
        <v>311673.25</v>
      </c>
      <c r="G99" s="916">
        <v>5967.30625</v>
      </c>
      <c r="H99" s="916">
        <f>0.025*F99</f>
        <v>7791.83125</v>
      </c>
      <c r="I99" s="916">
        <f t="shared" si="16"/>
        <v>1824.525</v>
      </c>
      <c r="J99" s="916">
        <f t="shared" si="17"/>
        <v>93501.975</v>
      </c>
    </row>
    <row r="100" customHeight="1" spans="1:10">
      <c r="A100" s="10">
        <v>4</v>
      </c>
      <c r="B100" s="11" t="s">
        <v>233</v>
      </c>
      <c r="C100" s="4" t="s">
        <v>555</v>
      </c>
      <c r="D100" s="15" t="s">
        <v>170</v>
      </c>
      <c r="E100" s="85">
        <v>390086.5</v>
      </c>
      <c r="F100" s="909">
        <v>302878.666666667</v>
      </c>
      <c r="G100" s="916"/>
      <c r="H100" s="916"/>
      <c r="I100" s="916">
        <f t="shared" si="16"/>
        <v>0</v>
      </c>
      <c r="J100" s="916">
        <f t="shared" si="17"/>
        <v>0</v>
      </c>
    </row>
    <row r="101" customHeight="1" spans="1:10">
      <c r="A101" s="10">
        <v>5</v>
      </c>
      <c r="B101" s="11" t="s">
        <v>234</v>
      </c>
      <c r="C101" s="4" t="s">
        <v>197</v>
      </c>
      <c r="D101" s="15" t="s">
        <v>77</v>
      </c>
      <c r="E101" s="220">
        <v>308901.5</v>
      </c>
      <c r="F101" s="909">
        <v>246171.166666667</v>
      </c>
      <c r="G101" s="916"/>
      <c r="H101" s="916"/>
      <c r="I101" s="916">
        <f t="shared" si="16"/>
        <v>0</v>
      </c>
      <c r="J101" s="916">
        <f t="shared" si="17"/>
        <v>0</v>
      </c>
    </row>
    <row r="102" customHeight="1" spans="1:10">
      <c r="A102" s="4"/>
      <c r="B102" s="20" t="s">
        <v>120</v>
      </c>
      <c r="C102" s="21">
        <v>5</v>
      </c>
      <c r="D102" s="26"/>
      <c r="E102" s="93">
        <f t="shared" ref="E102:J102" si="18">SUM(E97:E101)</f>
        <v>2966505.25</v>
      </c>
      <c r="F102" s="912">
        <f t="shared" si="18"/>
        <v>2274062.58333333</v>
      </c>
      <c r="G102" s="93">
        <f t="shared" si="18"/>
        <v>24222.28125</v>
      </c>
      <c r="H102" s="93">
        <f t="shared" si="18"/>
        <v>34198.6520833333</v>
      </c>
      <c r="I102" s="93">
        <f t="shared" si="18"/>
        <v>9976.37083333325</v>
      </c>
      <c r="J102" s="93">
        <f t="shared" si="18"/>
        <v>410383.824999999</v>
      </c>
    </row>
    <row r="103" customHeight="1" spans="1:10">
      <c r="A103" s="4"/>
      <c r="B103" s="22"/>
      <c r="C103" s="21"/>
      <c r="D103" s="26"/>
      <c r="E103" s="146"/>
      <c r="F103" s="913"/>
      <c r="G103" s="916"/>
      <c r="H103" s="916"/>
      <c r="I103" s="916"/>
      <c r="J103" s="916"/>
    </row>
    <row r="104" customHeight="1" spans="1:10">
      <c r="A104" s="4"/>
      <c r="B104" s="20" t="s">
        <v>237</v>
      </c>
      <c r="C104" s="4"/>
      <c r="D104" s="4"/>
      <c r="E104" s="4"/>
      <c r="F104" s="917"/>
      <c r="G104" s="916"/>
      <c r="H104" s="916"/>
      <c r="I104" s="916"/>
      <c r="J104" s="916"/>
    </row>
    <row r="105" customHeight="1" spans="1:10">
      <c r="A105" s="4">
        <v>1</v>
      </c>
      <c r="B105" s="11" t="s">
        <v>556</v>
      </c>
      <c r="C105" s="12" t="s">
        <v>239</v>
      </c>
      <c r="D105" s="15" t="s">
        <v>124</v>
      </c>
      <c r="E105" s="85">
        <v>1435720</v>
      </c>
      <c r="F105" s="909">
        <v>1086777.08333333</v>
      </c>
      <c r="G105" s="916">
        <v>0</v>
      </c>
      <c r="H105" s="916"/>
      <c r="I105" s="916">
        <f t="shared" ref="I105:I111" si="19">H105-G105</f>
        <v>0</v>
      </c>
      <c r="J105" s="916"/>
    </row>
    <row r="106" customHeight="1" spans="1:10">
      <c r="A106" s="4">
        <v>2</v>
      </c>
      <c r="B106" s="11" t="s">
        <v>240</v>
      </c>
      <c r="C106" s="4" t="s">
        <v>241</v>
      </c>
      <c r="D106" s="16" t="s">
        <v>35</v>
      </c>
      <c r="E106" s="85">
        <v>762373.166666667</v>
      </c>
      <c r="F106" s="909">
        <v>554669.5</v>
      </c>
      <c r="G106" s="916">
        <v>10293.3979166667</v>
      </c>
      <c r="H106" s="916">
        <f>0.025*F106</f>
        <v>13866.7375</v>
      </c>
      <c r="I106" s="916">
        <f t="shared" si="19"/>
        <v>3573.3395833333</v>
      </c>
      <c r="J106" s="916">
        <f>H106*12</f>
        <v>166400.85</v>
      </c>
    </row>
    <row r="107" customHeight="1" spans="1:10">
      <c r="A107" s="4">
        <v>3</v>
      </c>
      <c r="B107" s="11" t="s">
        <v>242</v>
      </c>
      <c r="C107" s="4" t="s">
        <v>557</v>
      </c>
      <c r="D107" s="10" t="s">
        <v>55</v>
      </c>
      <c r="E107" s="85">
        <v>441804.916666667</v>
      </c>
      <c r="F107" s="909">
        <v>337730.833333333</v>
      </c>
      <c r="G107" s="916">
        <v>5954.61041666667</v>
      </c>
      <c r="H107" s="916">
        <f>0.025*F107</f>
        <v>8443.27083333333</v>
      </c>
      <c r="I107" s="916">
        <f t="shared" si="19"/>
        <v>2488.66041666666</v>
      </c>
      <c r="J107" s="916">
        <f>H107*12</f>
        <v>101319.25</v>
      </c>
    </row>
    <row r="108" customHeight="1" spans="1:10">
      <c r="A108" s="4">
        <v>4</v>
      </c>
      <c r="B108" s="11" t="s">
        <v>244</v>
      </c>
      <c r="C108" s="4" t="s">
        <v>557</v>
      </c>
      <c r="D108" s="10" t="s">
        <v>55</v>
      </c>
      <c r="E108" s="85">
        <v>441804.916666667</v>
      </c>
      <c r="F108" s="909">
        <v>337730.833333333</v>
      </c>
      <c r="G108" s="916"/>
      <c r="H108" s="916"/>
      <c r="I108" s="916">
        <f t="shared" si="19"/>
        <v>0</v>
      </c>
      <c r="J108" s="916"/>
    </row>
    <row r="109" customHeight="1" spans="1:10">
      <c r="A109" s="4">
        <v>5</v>
      </c>
      <c r="B109" s="11" t="s">
        <v>247</v>
      </c>
      <c r="C109" s="4" t="s">
        <v>248</v>
      </c>
      <c r="D109" s="15" t="s">
        <v>507</v>
      </c>
      <c r="E109" s="220">
        <v>255320.583333333</v>
      </c>
      <c r="F109" s="909">
        <v>213104.416666667</v>
      </c>
      <c r="G109" s="916"/>
      <c r="H109" s="916"/>
      <c r="I109" s="916">
        <f t="shared" si="19"/>
        <v>0</v>
      </c>
      <c r="J109" s="916"/>
    </row>
    <row r="110" customHeight="1" spans="1:10">
      <c r="A110" s="4">
        <v>6</v>
      </c>
      <c r="B110" s="18" t="s">
        <v>250</v>
      </c>
      <c r="C110" s="4" t="s">
        <v>248</v>
      </c>
      <c r="D110" s="10" t="s">
        <v>344</v>
      </c>
      <c r="E110" s="220">
        <v>255849</v>
      </c>
      <c r="F110" s="909">
        <v>212792.166666667</v>
      </c>
      <c r="G110" s="916"/>
      <c r="H110" s="916"/>
      <c r="I110" s="916">
        <f t="shared" si="19"/>
        <v>0</v>
      </c>
      <c r="J110" s="916"/>
    </row>
    <row r="111" customHeight="1" spans="1:10">
      <c r="A111" s="4">
        <v>7</v>
      </c>
      <c r="B111" s="18" t="s">
        <v>251</v>
      </c>
      <c r="C111" s="4" t="s">
        <v>248</v>
      </c>
      <c r="D111" s="15" t="s">
        <v>105</v>
      </c>
      <c r="E111" s="220">
        <v>236804.083333333</v>
      </c>
      <c r="F111" s="909">
        <v>200549.416666667</v>
      </c>
      <c r="G111" s="916"/>
      <c r="H111" s="916"/>
      <c r="I111" s="916">
        <f t="shared" si="19"/>
        <v>0</v>
      </c>
      <c r="J111" s="916"/>
    </row>
    <row r="112" ht="25.5" customHeight="1" spans="1:10">
      <c r="A112" s="4"/>
      <c r="B112" s="20" t="s">
        <v>120</v>
      </c>
      <c r="C112" s="21">
        <v>7</v>
      </c>
      <c r="D112" s="4"/>
      <c r="E112" s="223">
        <f t="shared" ref="E112:J112" si="20">SUM(E105:E111)</f>
        <v>3829676.66666667</v>
      </c>
      <c r="F112" s="918">
        <f t="shared" si="20"/>
        <v>2943354.25</v>
      </c>
      <c r="G112" s="223">
        <f t="shared" si="20"/>
        <v>16248.0083333334</v>
      </c>
      <c r="H112" s="223">
        <f t="shared" si="20"/>
        <v>22310.0083333333</v>
      </c>
      <c r="I112" s="223">
        <f t="shared" si="20"/>
        <v>6061.99999999996</v>
      </c>
      <c r="J112" s="223">
        <f t="shared" si="20"/>
        <v>267720.1</v>
      </c>
    </row>
    <row r="113" customHeight="1" spans="1:10">
      <c r="A113" s="4"/>
      <c r="B113" s="20"/>
      <c r="C113" s="21"/>
      <c r="D113" s="4"/>
      <c r="E113" s="223"/>
      <c r="F113" s="918"/>
      <c r="G113" s="916"/>
      <c r="H113" s="916"/>
      <c r="I113" s="916"/>
      <c r="J113" s="916"/>
    </row>
    <row r="114" customHeight="1" spans="1:10">
      <c r="A114" s="10"/>
      <c r="B114" s="20" t="s">
        <v>255</v>
      </c>
      <c r="C114" s="21"/>
      <c r="D114" s="21"/>
      <c r="E114" s="146"/>
      <c r="F114" s="913"/>
      <c r="G114" s="916"/>
      <c r="H114" s="916"/>
      <c r="I114" s="916"/>
      <c r="J114" s="916"/>
    </row>
    <row r="115" ht="18.75" customHeight="1" spans="1:10">
      <c r="A115" s="10">
        <v>1</v>
      </c>
      <c r="B115" s="11" t="s">
        <v>257</v>
      </c>
      <c r="C115" s="4" t="s">
        <v>258</v>
      </c>
      <c r="D115" s="15" t="s">
        <v>170</v>
      </c>
      <c r="E115" s="85">
        <v>390086.5</v>
      </c>
      <c r="F115" s="909">
        <v>302878.666666667</v>
      </c>
      <c r="G115" s="916"/>
      <c r="H115" s="916"/>
      <c r="I115" s="916">
        <f t="shared" ref="I115:I117" si="21">H115-G115</f>
        <v>0</v>
      </c>
      <c r="J115" s="916"/>
    </row>
    <row r="116" ht="18.75" customHeight="1" spans="1:10">
      <c r="A116" s="10">
        <v>2</v>
      </c>
      <c r="B116" s="11" t="s">
        <v>260</v>
      </c>
      <c r="C116" s="4" t="s">
        <v>71</v>
      </c>
      <c r="D116" s="15" t="s">
        <v>69</v>
      </c>
      <c r="E116" s="85">
        <v>377895.166666667</v>
      </c>
      <c r="F116" s="909">
        <v>294662.916666667</v>
      </c>
      <c r="G116" s="916"/>
      <c r="H116" s="916"/>
      <c r="I116" s="916">
        <f t="shared" si="21"/>
        <v>0</v>
      </c>
      <c r="J116" s="916"/>
    </row>
    <row r="117" customHeight="1" spans="1:10">
      <c r="A117" s="10">
        <v>3</v>
      </c>
      <c r="B117" s="11" t="s">
        <v>190</v>
      </c>
      <c r="C117" s="12" t="s">
        <v>191</v>
      </c>
      <c r="D117" s="15" t="s">
        <v>66</v>
      </c>
      <c r="E117" s="85">
        <v>390248.916666667</v>
      </c>
      <c r="F117" s="909">
        <v>302987.416666667</v>
      </c>
      <c r="G117" s="916">
        <v>5967.30625</v>
      </c>
      <c r="H117" s="916">
        <f>0.025*F117</f>
        <v>7574.68541666667</v>
      </c>
      <c r="I117" s="916">
        <f t="shared" si="21"/>
        <v>1607.37916666667</v>
      </c>
      <c r="J117" s="916">
        <f>H117*12</f>
        <v>90896.2250000001</v>
      </c>
    </row>
    <row r="118" ht="24.75" customHeight="1" spans="1:10">
      <c r="A118" s="4"/>
      <c r="B118" s="20" t="s">
        <v>120</v>
      </c>
      <c r="C118" s="21">
        <v>3</v>
      </c>
      <c r="D118" s="26"/>
      <c r="E118" s="93">
        <f t="shared" ref="E118:J118" si="22">SUM(E115:E117)</f>
        <v>1158230.58333333</v>
      </c>
      <c r="F118" s="912">
        <f t="shared" si="22"/>
        <v>900529.000000001</v>
      </c>
      <c r="G118" s="93">
        <f t="shared" si="22"/>
        <v>5967.30625</v>
      </c>
      <c r="H118" s="93">
        <f t="shared" si="22"/>
        <v>7574.68541666667</v>
      </c>
      <c r="I118" s="93">
        <f t="shared" si="22"/>
        <v>1607.37916666667</v>
      </c>
      <c r="J118" s="93">
        <f t="shared" si="22"/>
        <v>90896.2250000001</v>
      </c>
    </row>
    <row r="119" ht="24.75" customHeight="1" spans="1:10">
      <c r="A119" s="4"/>
      <c r="B119" s="20"/>
      <c r="C119" s="21"/>
      <c r="D119" s="26"/>
      <c r="E119" s="93"/>
      <c r="F119" s="912"/>
      <c r="G119" s="916"/>
      <c r="H119" s="916"/>
      <c r="I119" s="916"/>
      <c r="J119" s="916"/>
    </row>
    <row r="120" ht="24.75" customHeight="1" spans="1:10">
      <c r="A120" s="10"/>
      <c r="B120" s="20" t="s">
        <v>267</v>
      </c>
      <c r="C120" s="21"/>
      <c r="D120" s="21"/>
      <c r="E120" s="146"/>
      <c r="F120" s="913"/>
      <c r="G120" s="916"/>
      <c r="H120" s="916"/>
      <c r="I120" s="916"/>
      <c r="J120" s="916"/>
    </row>
    <row r="121" ht="24.75" customHeight="1" spans="1:10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09">
        <v>187994.416666667</v>
      </c>
      <c r="G121" s="916"/>
      <c r="H121" s="916"/>
      <c r="I121" s="916">
        <f t="shared" ref="I121:I135" si="23">H121-G121</f>
        <v>0</v>
      </c>
      <c r="J121" s="916"/>
    </row>
    <row r="122" ht="24.75" customHeight="1" spans="1:10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09">
        <v>187994.416666667</v>
      </c>
      <c r="G122" s="916"/>
      <c r="H122" s="916"/>
      <c r="I122" s="916">
        <f t="shared" si="23"/>
        <v>0</v>
      </c>
      <c r="J122" s="916"/>
    </row>
    <row r="123" customHeight="1" spans="1:10">
      <c r="A123" s="4"/>
      <c r="B123" s="20" t="s">
        <v>120</v>
      </c>
      <c r="C123" s="21">
        <v>3</v>
      </c>
      <c r="D123" s="26"/>
      <c r="E123" s="93">
        <f t="shared" ref="E123:J123" si="24">SUM(E121:E122)</f>
        <v>436575.166666666</v>
      </c>
      <c r="F123" s="912">
        <f t="shared" si="24"/>
        <v>375988.833333334</v>
      </c>
      <c r="G123" s="93">
        <f t="shared" si="24"/>
        <v>0</v>
      </c>
      <c r="H123" s="93">
        <f t="shared" si="24"/>
        <v>0</v>
      </c>
      <c r="I123" s="93">
        <f t="shared" si="24"/>
        <v>0</v>
      </c>
      <c r="J123" s="93">
        <f t="shared" si="24"/>
        <v>0</v>
      </c>
    </row>
    <row r="124" customHeight="1" spans="1:10">
      <c r="A124" s="4"/>
      <c r="B124" s="20"/>
      <c r="C124" s="21"/>
      <c r="D124" s="26"/>
      <c r="E124" s="93"/>
      <c r="F124" s="912"/>
      <c r="G124" s="916"/>
      <c r="H124" s="916"/>
      <c r="I124" s="916"/>
      <c r="J124" s="916"/>
    </row>
    <row r="125" customHeight="1" spans="1:10">
      <c r="A125" s="4"/>
      <c r="B125" s="20" t="s">
        <v>279</v>
      </c>
      <c r="C125" s="21"/>
      <c r="D125" s="21"/>
      <c r="E125" s="146"/>
      <c r="F125" s="913"/>
      <c r="G125" s="916"/>
      <c r="H125" s="916"/>
      <c r="I125" s="916"/>
      <c r="J125" s="916"/>
    </row>
    <row r="126" customHeight="1" spans="1:10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09">
        <v>1086777.08333333</v>
      </c>
      <c r="G126" s="916">
        <v>19384.7666666667</v>
      </c>
      <c r="H126" s="916">
        <f t="shared" ref="H126:H128" si="25">0.025*F126</f>
        <v>27169.4270833333</v>
      </c>
      <c r="I126" s="916">
        <f t="shared" si="23"/>
        <v>7784.66041666655</v>
      </c>
      <c r="J126" s="916">
        <f t="shared" ref="J126:J135" si="26">H126*12</f>
        <v>326033.124999999</v>
      </c>
    </row>
    <row r="127" customHeight="1" spans="1:10">
      <c r="A127" s="4">
        <v>2</v>
      </c>
      <c r="B127" s="11" t="s">
        <v>282</v>
      </c>
      <c r="C127" s="12" t="s">
        <v>558</v>
      </c>
      <c r="D127" s="15" t="s">
        <v>35</v>
      </c>
      <c r="E127" s="85">
        <v>762373.166666667</v>
      </c>
      <c r="F127" s="909">
        <v>554669.5</v>
      </c>
      <c r="G127" s="916">
        <v>9980.56666666667</v>
      </c>
      <c r="H127" s="916">
        <f t="shared" si="25"/>
        <v>13866.7375</v>
      </c>
      <c r="I127" s="916">
        <f t="shared" si="23"/>
        <v>3886.17083333333</v>
      </c>
      <c r="J127" s="916">
        <f t="shared" si="26"/>
        <v>166400.85</v>
      </c>
    </row>
    <row r="128" customHeight="1" spans="1:10">
      <c r="A128" s="4">
        <v>3</v>
      </c>
      <c r="B128" s="14" t="s">
        <v>284</v>
      </c>
      <c r="C128" s="12" t="s">
        <v>559</v>
      </c>
      <c r="D128" s="15" t="s">
        <v>506</v>
      </c>
      <c r="E128" s="85">
        <v>716034</v>
      </c>
      <c r="F128" s="909">
        <v>523386.5</v>
      </c>
      <c r="G128" s="916">
        <v>9980.56666666667</v>
      </c>
      <c r="H128" s="916">
        <f t="shared" si="25"/>
        <v>13084.6625</v>
      </c>
      <c r="I128" s="916">
        <f t="shared" si="23"/>
        <v>3104.09583333333</v>
      </c>
      <c r="J128" s="916">
        <f t="shared" si="26"/>
        <v>157015.95</v>
      </c>
    </row>
    <row r="129" customHeight="1" spans="1:10">
      <c r="A129" s="4">
        <v>4</v>
      </c>
      <c r="B129" s="11" t="s">
        <v>287</v>
      </c>
      <c r="C129" s="12" t="s">
        <v>289</v>
      </c>
      <c r="D129" s="15" t="s">
        <v>189</v>
      </c>
      <c r="E129" s="85">
        <v>484373.75</v>
      </c>
      <c r="F129" s="909">
        <v>366417.5</v>
      </c>
      <c r="G129" s="916">
        <v>0</v>
      </c>
      <c r="H129" s="916"/>
      <c r="I129" s="916">
        <f t="shared" si="23"/>
        <v>0</v>
      </c>
      <c r="J129" s="916">
        <f t="shared" si="26"/>
        <v>0</v>
      </c>
    </row>
    <row r="130" customHeight="1" spans="1:10">
      <c r="A130" s="4">
        <v>5</v>
      </c>
      <c r="B130" s="11" t="s">
        <v>288</v>
      </c>
      <c r="C130" s="12" t="s">
        <v>560</v>
      </c>
      <c r="D130" s="15" t="s">
        <v>212</v>
      </c>
      <c r="E130" s="85">
        <v>456622.25</v>
      </c>
      <c r="F130" s="909">
        <v>347715.916666667</v>
      </c>
      <c r="G130" s="916">
        <v>5967.30625</v>
      </c>
      <c r="H130" s="916">
        <f>0.025*F130</f>
        <v>8692.89791666667</v>
      </c>
      <c r="I130" s="916">
        <f t="shared" si="23"/>
        <v>2725.59166666667</v>
      </c>
      <c r="J130" s="916">
        <f t="shared" si="26"/>
        <v>104314.775</v>
      </c>
    </row>
    <row r="131" customHeight="1" spans="1:10">
      <c r="A131" s="4">
        <v>6</v>
      </c>
      <c r="B131" s="11" t="s">
        <v>290</v>
      </c>
      <c r="C131" s="12" t="s">
        <v>289</v>
      </c>
      <c r="D131" s="15" t="s">
        <v>46</v>
      </c>
      <c r="E131" s="85">
        <v>470498</v>
      </c>
      <c r="F131" s="909">
        <v>357066.666666667</v>
      </c>
      <c r="G131" s="916">
        <v>6154.32291666667</v>
      </c>
      <c r="H131" s="916">
        <f>0.025*F131</f>
        <v>8926.66666666668</v>
      </c>
      <c r="I131" s="916">
        <f t="shared" si="23"/>
        <v>2772.34375000001</v>
      </c>
      <c r="J131" s="916">
        <f t="shared" si="26"/>
        <v>107120</v>
      </c>
    </row>
    <row r="132" customHeight="1" spans="1:10">
      <c r="A132" s="4">
        <v>7</v>
      </c>
      <c r="B132" s="11" t="s">
        <v>293</v>
      </c>
      <c r="C132" s="12" t="s">
        <v>561</v>
      </c>
      <c r="D132" s="10" t="s">
        <v>85</v>
      </c>
      <c r="E132" s="85">
        <v>277798</v>
      </c>
      <c r="F132" s="909">
        <v>227615.75</v>
      </c>
      <c r="G132" s="916"/>
      <c r="H132" s="916"/>
      <c r="I132" s="916">
        <f t="shared" si="23"/>
        <v>0</v>
      </c>
      <c r="J132" s="916">
        <f t="shared" si="26"/>
        <v>0</v>
      </c>
    </row>
    <row r="133" customHeight="1" spans="1:10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09">
        <v>196364.416666667</v>
      </c>
      <c r="G133" s="916">
        <v>0</v>
      </c>
      <c r="H133" s="916"/>
      <c r="I133" s="916">
        <f t="shared" si="23"/>
        <v>0</v>
      </c>
      <c r="J133" s="916">
        <f t="shared" si="26"/>
        <v>0</v>
      </c>
    </row>
    <row r="134" customHeight="1" spans="1:10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09">
        <v>196364.416666667</v>
      </c>
      <c r="G134" s="916">
        <v>0</v>
      </c>
      <c r="H134" s="916"/>
      <c r="I134" s="916">
        <f t="shared" si="23"/>
        <v>0</v>
      </c>
      <c r="J134" s="916">
        <f t="shared" si="26"/>
        <v>0</v>
      </c>
    </row>
    <row r="135" customHeight="1" spans="1:10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09">
        <v>192179.416666667</v>
      </c>
      <c r="G135" s="916"/>
      <c r="H135" s="916"/>
      <c r="I135" s="916">
        <f t="shared" si="23"/>
        <v>0</v>
      </c>
      <c r="J135" s="916">
        <f t="shared" si="26"/>
        <v>0</v>
      </c>
    </row>
    <row r="136" ht="28.5" customHeight="1" spans="1:10">
      <c r="A136" s="4"/>
      <c r="B136" s="20" t="s">
        <v>120</v>
      </c>
      <c r="C136" s="26" t="s">
        <v>562</v>
      </c>
      <c r="D136" s="15"/>
      <c r="E136" s="146">
        <f t="shared" ref="E136:J136" si="27">SUM(E126:E135)</f>
        <v>5289142.75</v>
      </c>
      <c r="F136" s="913">
        <f t="shared" si="27"/>
        <v>4048557.16666667</v>
      </c>
      <c r="G136" s="221">
        <f t="shared" si="27"/>
        <v>51467.5291666667</v>
      </c>
      <c r="H136" s="221">
        <f t="shared" si="27"/>
        <v>71740.3916666666</v>
      </c>
      <c r="I136" s="221">
        <f t="shared" si="27"/>
        <v>20272.8624999999</v>
      </c>
      <c r="J136" s="221">
        <f t="shared" si="27"/>
        <v>860884.699999999</v>
      </c>
    </row>
    <row r="137" customHeight="1" spans="1:10">
      <c r="A137" s="4"/>
      <c r="B137" s="22"/>
      <c r="C137" s="26"/>
      <c r="D137" s="15"/>
      <c r="E137" s="146"/>
      <c r="F137" s="913"/>
      <c r="G137" s="916"/>
      <c r="H137" s="916"/>
      <c r="I137" s="916"/>
      <c r="J137" s="916"/>
    </row>
    <row r="138" customHeight="1" spans="1:10">
      <c r="A138" s="4"/>
      <c r="B138" s="20" t="s">
        <v>300</v>
      </c>
      <c r="C138" s="12"/>
      <c r="D138" s="15"/>
      <c r="E138" s="85"/>
      <c r="F138" s="909"/>
      <c r="G138" s="916"/>
      <c r="H138" s="916"/>
      <c r="I138" s="916"/>
      <c r="J138" s="916"/>
    </row>
    <row r="139" customHeight="1" spans="1:10">
      <c r="A139" s="27">
        <v>1</v>
      </c>
      <c r="B139" s="14" t="s">
        <v>301</v>
      </c>
      <c r="C139" s="4" t="s">
        <v>302</v>
      </c>
      <c r="D139" s="10" t="s">
        <v>508</v>
      </c>
      <c r="E139" s="85">
        <f>'[3]Annual &amp; Monthly'!$H$44</f>
        <v>1352042.66666667</v>
      </c>
      <c r="F139" s="909">
        <v>1025768.33333333</v>
      </c>
      <c r="G139" s="916">
        <v>18254.975</v>
      </c>
      <c r="H139" s="916">
        <f t="shared" ref="H139:H143" si="28">0.025*F139</f>
        <v>25644.2083333333</v>
      </c>
      <c r="I139" s="916">
        <f t="shared" ref="I139:I198" si="29">H139-G139</f>
        <v>7389.23333333325</v>
      </c>
      <c r="J139" s="916">
        <f t="shared" ref="J139:J198" si="30">H139*12</f>
        <v>307730.499999999</v>
      </c>
    </row>
    <row r="140" customHeight="1" spans="1:10">
      <c r="A140" s="27">
        <v>2</v>
      </c>
      <c r="B140" s="14" t="s">
        <v>304</v>
      </c>
      <c r="C140" s="4" t="s">
        <v>305</v>
      </c>
      <c r="D140" s="16" t="s">
        <v>35</v>
      </c>
      <c r="E140" s="85">
        <v>762373.166666667</v>
      </c>
      <c r="F140" s="909">
        <v>554669.5</v>
      </c>
      <c r="G140" s="916">
        <v>10293.3979166667</v>
      </c>
      <c r="H140" s="916">
        <f t="shared" si="28"/>
        <v>13866.7375</v>
      </c>
      <c r="I140" s="916">
        <f t="shared" si="29"/>
        <v>3573.3395833333</v>
      </c>
      <c r="J140" s="916">
        <f t="shared" si="30"/>
        <v>166400.85</v>
      </c>
    </row>
    <row r="141" customHeight="1" spans="1:10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916">
        <v>8380.22708333333</v>
      </c>
      <c r="H141" s="916">
        <f t="shared" si="28"/>
        <v>10824.5270833333</v>
      </c>
      <c r="I141" s="916">
        <f t="shared" si="29"/>
        <v>2444.3</v>
      </c>
      <c r="J141" s="916">
        <f t="shared" si="30"/>
        <v>129894.325</v>
      </c>
    </row>
    <row r="142" customHeight="1" spans="1:10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916">
        <v>8381.22708333333</v>
      </c>
      <c r="H142" s="916">
        <f t="shared" si="28"/>
        <v>10824.5270833333</v>
      </c>
      <c r="I142" s="916">
        <f t="shared" si="29"/>
        <v>2443.3</v>
      </c>
      <c r="J142" s="916">
        <f t="shared" si="30"/>
        <v>129894.325</v>
      </c>
    </row>
    <row r="143" customHeight="1" spans="1:10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916">
        <v>8382.22708333333</v>
      </c>
      <c r="H143" s="916">
        <f t="shared" si="28"/>
        <v>10824.5270833333</v>
      </c>
      <c r="I143" s="916">
        <f t="shared" si="29"/>
        <v>2442.3</v>
      </c>
      <c r="J143" s="916">
        <f t="shared" si="30"/>
        <v>129894.325</v>
      </c>
    </row>
    <row r="144" customHeight="1" spans="1:10">
      <c r="A144" s="27">
        <v>6</v>
      </c>
      <c r="B144" s="11" t="s">
        <v>313</v>
      </c>
      <c r="C144" s="12" t="s">
        <v>230</v>
      </c>
      <c r="D144" s="15" t="s">
        <v>66</v>
      </c>
      <c r="E144" s="85">
        <v>390248.916666667</v>
      </c>
      <c r="F144" s="909">
        <v>311673.25</v>
      </c>
      <c r="G144" s="916">
        <v>0</v>
      </c>
      <c r="H144" s="916"/>
      <c r="I144" s="916">
        <f t="shared" si="29"/>
        <v>0</v>
      </c>
      <c r="J144" s="916">
        <f t="shared" si="30"/>
        <v>0</v>
      </c>
    </row>
    <row r="145" customHeight="1" spans="1:10">
      <c r="A145" s="27">
        <v>7</v>
      </c>
      <c r="B145" s="11" t="s">
        <v>314</v>
      </c>
      <c r="C145" s="4" t="s">
        <v>563</v>
      </c>
      <c r="D145" s="15" t="s">
        <v>66</v>
      </c>
      <c r="E145" s="85">
        <v>390248.916666667</v>
      </c>
      <c r="F145" s="909">
        <v>302987.416666667</v>
      </c>
      <c r="G145" s="916">
        <v>0</v>
      </c>
      <c r="H145" s="916"/>
      <c r="I145" s="916">
        <f t="shared" si="29"/>
        <v>0</v>
      </c>
      <c r="J145" s="916">
        <f t="shared" si="30"/>
        <v>0</v>
      </c>
    </row>
    <row r="146" customHeight="1" spans="1:10">
      <c r="A146" s="27">
        <v>8</v>
      </c>
      <c r="B146" s="11" t="s">
        <v>316</v>
      </c>
      <c r="C146" s="12" t="s">
        <v>564</v>
      </c>
      <c r="D146" s="15" t="s">
        <v>170</v>
      </c>
      <c r="E146" s="85">
        <v>390086.5</v>
      </c>
      <c r="F146" s="909">
        <v>302878.666666667</v>
      </c>
      <c r="G146" s="916">
        <v>0</v>
      </c>
      <c r="H146" s="916"/>
      <c r="I146" s="916">
        <f t="shared" si="29"/>
        <v>0</v>
      </c>
      <c r="J146" s="916">
        <f t="shared" si="30"/>
        <v>0</v>
      </c>
    </row>
    <row r="147" customHeight="1" spans="1:10">
      <c r="A147" s="27">
        <v>9</v>
      </c>
      <c r="B147" s="11" t="s">
        <v>318</v>
      </c>
      <c r="C147" s="12" t="s">
        <v>319</v>
      </c>
      <c r="D147" s="15" t="s">
        <v>69</v>
      </c>
      <c r="E147" s="85">
        <v>377895.166666667</v>
      </c>
      <c r="F147" s="909">
        <v>294662.916666667</v>
      </c>
      <c r="G147" s="916">
        <v>4928.93333333333</v>
      </c>
      <c r="H147" s="916">
        <f>0.025*F147</f>
        <v>7366.57291666668</v>
      </c>
      <c r="I147" s="916">
        <f t="shared" si="29"/>
        <v>2437.63958333335</v>
      </c>
      <c r="J147" s="916">
        <f t="shared" si="30"/>
        <v>88398.8750000001</v>
      </c>
    </row>
    <row r="148" customHeight="1" spans="1:10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09">
        <v>286447.083333333</v>
      </c>
      <c r="G148" s="916">
        <v>0</v>
      </c>
      <c r="H148" s="916"/>
      <c r="I148" s="916">
        <f t="shared" si="29"/>
        <v>0</v>
      </c>
      <c r="J148" s="916">
        <f t="shared" si="30"/>
        <v>0</v>
      </c>
    </row>
    <row r="149" customHeight="1" spans="1:10">
      <c r="A149" s="27">
        <v>11</v>
      </c>
      <c r="B149" s="11" t="s">
        <v>322</v>
      </c>
      <c r="C149" s="4" t="s">
        <v>321</v>
      </c>
      <c r="D149" s="15" t="s">
        <v>504</v>
      </c>
      <c r="E149" s="220">
        <v>353512.5</v>
      </c>
      <c r="F149" s="909">
        <v>278231.25</v>
      </c>
      <c r="G149" s="916">
        <v>0</v>
      </c>
      <c r="H149" s="916"/>
      <c r="I149" s="916">
        <f t="shared" si="29"/>
        <v>0</v>
      </c>
      <c r="J149" s="916">
        <f t="shared" si="30"/>
        <v>0</v>
      </c>
    </row>
    <row r="150" customHeight="1" spans="1:10">
      <c r="A150" s="27">
        <v>12</v>
      </c>
      <c r="B150" s="11" t="s">
        <v>323</v>
      </c>
      <c r="C150" s="4" t="s">
        <v>321</v>
      </c>
      <c r="D150" s="15" t="s">
        <v>504</v>
      </c>
      <c r="E150" s="220">
        <v>353512.5</v>
      </c>
      <c r="F150" s="909">
        <v>278231.25</v>
      </c>
      <c r="G150" s="916">
        <v>4928.93333333333</v>
      </c>
      <c r="H150" s="916">
        <f>0.025*F150</f>
        <v>6955.78125</v>
      </c>
      <c r="I150" s="916">
        <f t="shared" si="29"/>
        <v>2026.84791666667</v>
      </c>
      <c r="J150" s="916">
        <f t="shared" si="30"/>
        <v>83469.375</v>
      </c>
    </row>
    <row r="151" customHeight="1" spans="1:10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09">
        <v>286447.083333333</v>
      </c>
      <c r="G151" s="916">
        <v>0</v>
      </c>
      <c r="H151" s="916"/>
      <c r="I151" s="916">
        <f t="shared" si="29"/>
        <v>0</v>
      </c>
      <c r="J151" s="916">
        <f t="shared" si="30"/>
        <v>0</v>
      </c>
    </row>
    <row r="152" customHeight="1" spans="1:10">
      <c r="A152" s="27">
        <v>14</v>
      </c>
      <c r="B152" s="11" t="s">
        <v>326</v>
      </c>
      <c r="C152" s="12" t="s">
        <v>327</v>
      </c>
      <c r="D152" s="15" t="s">
        <v>77</v>
      </c>
      <c r="E152" s="220">
        <v>308901.5</v>
      </c>
      <c r="F152" s="909">
        <v>246171.166666667</v>
      </c>
      <c r="G152" s="916">
        <v>0</v>
      </c>
      <c r="H152" s="916"/>
      <c r="I152" s="916">
        <f t="shared" si="29"/>
        <v>0</v>
      </c>
      <c r="J152" s="916">
        <f t="shared" si="30"/>
        <v>0</v>
      </c>
    </row>
    <row r="153" customHeight="1" spans="1:10">
      <c r="A153" s="27">
        <v>15</v>
      </c>
      <c r="B153" s="11" t="s">
        <v>328</v>
      </c>
      <c r="C153" s="12" t="s">
        <v>329</v>
      </c>
      <c r="D153" s="10" t="s">
        <v>88</v>
      </c>
      <c r="E153" s="85">
        <v>270481.666666667</v>
      </c>
      <c r="F153" s="909">
        <v>222674.583333333</v>
      </c>
      <c r="G153" s="916">
        <v>0</v>
      </c>
      <c r="H153" s="916"/>
      <c r="I153" s="916">
        <f t="shared" si="29"/>
        <v>0</v>
      </c>
      <c r="J153" s="916">
        <f t="shared" si="30"/>
        <v>0</v>
      </c>
    </row>
    <row r="154" customHeight="1" spans="1:10">
      <c r="A154" s="27">
        <v>16</v>
      </c>
      <c r="B154" s="11" t="s">
        <v>330</v>
      </c>
      <c r="C154" s="12" t="s">
        <v>565</v>
      </c>
      <c r="D154" s="15" t="s">
        <v>151</v>
      </c>
      <c r="E154" s="220">
        <v>316837.416666667</v>
      </c>
      <c r="F154" s="909">
        <v>308901.5</v>
      </c>
      <c r="G154" s="916">
        <v>0</v>
      </c>
      <c r="H154" s="916"/>
      <c r="I154" s="916">
        <f t="shared" si="29"/>
        <v>0</v>
      </c>
      <c r="J154" s="916">
        <f t="shared" si="30"/>
        <v>0</v>
      </c>
    </row>
    <row r="155" customHeight="1" spans="1:10">
      <c r="A155" s="27">
        <v>17</v>
      </c>
      <c r="B155" s="11" t="s">
        <v>332</v>
      </c>
      <c r="C155" s="12" t="s">
        <v>566</v>
      </c>
      <c r="D155" s="15" t="s">
        <v>85</v>
      </c>
      <c r="E155" s="220">
        <v>277798</v>
      </c>
      <c r="F155" s="909">
        <v>227615.75</v>
      </c>
      <c r="G155" s="916">
        <v>0</v>
      </c>
      <c r="H155" s="916"/>
      <c r="I155" s="916">
        <f t="shared" si="29"/>
        <v>0</v>
      </c>
      <c r="J155" s="916">
        <f t="shared" si="30"/>
        <v>0</v>
      </c>
    </row>
    <row r="156" customHeight="1" spans="1:10">
      <c r="A156" s="27">
        <v>18</v>
      </c>
      <c r="B156" s="11" t="s">
        <v>334</v>
      </c>
      <c r="C156" s="12" t="s">
        <v>567</v>
      </c>
      <c r="D156" s="15" t="s">
        <v>151</v>
      </c>
      <c r="E156" s="220">
        <v>316837.416666667</v>
      </c>
      <c r="F156" s="909">
        <v>308901.5</v>
      </c>
      <c r="G156" s="916">
        <v>4123.42083333333</v>
      </c>
      <c r="H156" s="916">
        <f>0.025*F156</f>
        <v>7722.5375</v>
      </c>
      <c r="I156" s="916">
        <f t="shared" si="29"/>
        <v>3599.11666666667</v>
      </c>
      <c r="J156" s="916">
        <f t="shared" si="30"/>
        <v>92670.45</v>
      </c>
    </row>
    <row r="157" customHeight="1" spans="1:10">
      <c r="A157" s="27">
        <v>19</v>
      </c>
      <c r="B157" s="11" t="s">
        <v>335</v>
      </c>
      <c r="C157" s="12" t="s">
        <v>568</v>
      </c>
      <c r="D157" s="15" t="s">
        <v>85</v>
      </c>
      <c r="E157" s="220">
        <v>277798</v>
      </c>
      <c r="F157" s="909">
        <v>227615.75</v>
      </c>
      <c r="G157" s="916">
        <v>0</v>
      </c>
      <c r="H157" s="916"/>
      <c r="I157" s="916">
        <f t="shared" si="29"/>
        <v>0</v>
      </c>
      <c r="J157" s="916">
        <f t="shared" si="30"/>
        <v>0</v>
      </c>
    </row>
    <row r="158" customHeight="1" spans="1:10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09">
        <v>217733.416666667</v>
      </c>
      <c r="G158" s="916">
        <v>0</v>
      </c>
      <c r="H158" s="916"/>
      <c r="I158" s="916">
        <f t="shared" si="29"/>
        <v>0</v>
      </c>
      <c r="J158" s="916">
        <f t="shared" si="30"/>
        <v>0</v>
      </c>
    </row>
    <row r="159" customHeight="1" spans="1:10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09">
        <v>217733.416666667</v>
      </c>
      <c r="G159" s="916">
        <v>0</v>
      </c>
      <c r="H159" s="916"/>
      <c r="I159" s="916">
        <f t="shared" si="29"/>
        <v>0</v>
      </c>
      <c r="J159" s="916">
        <f t="shared" si="30"/>
        <v>0</v>
      </c>
    </row>
    <row r="160" customHeight="1" spans="1:10">
      <c r="A160" s="27">
        <v>22</v>
      </c>
      <c r="B160" s="18" t="s">
        <v>345</v>
      </c>
      <c r="C160" s="12" t="s">
        <v>346</v>
      </c>
      <c r="D160" s="15" t="s">
        <v>108</v>
      </c>
      <c r="E160" s="85">
        <v>230631.916666667</v>
      </c>
      <c r="F160" s="909">
        <v>196364.416666667</v>
      </c>
      <c r="G160" s="916">
        <v>0</v>
      </c>
      <c r="H160" s="916"/>
      <c r="I160" s="916">
        <f t="shared" si="29"/>
        <v>0</v>
      </c>
      <c r="J160" s="916">
        <f t="shared" si="30"/>
        <v>0</v>
      </c>
    </row>
    <row r="161" customHeight="1" spans="1:10">
      <c r="A161" s="27">
        <v>23</v>
      </c>
      <c r="B161" s="18" t="s">
        <v>347</v>
      </c>
      <c r="C161" s="12" t="s">
        <v>348</v>
      </c>
      <c r="D161" s="15" t="s">
        <v>108</v>
      </c>
      <c r="E161" s="85">
        <v>230631.916666667</v>
      </c>
      <c r="F161" s="909">
        <v>196364.416666667</v>
      </c>
      <c r="G161" s="916">
        <v>0</v>
      </c>
      <c r="H161" s="916"/>
      <c r="I161" s="916">
        <f t="shared" si="29"/>
        <v>0</v>
      </c>
      <c r="J161" s="916">
        <f t="shared" si="30"/>
        <v>0</v>
      </c>
    </row>
    <row r="162" customHeight="1" spans="1:10">
      <c r="A162" s="27">
        <v>24</v>
      </c>
      <c r="B162" s="18" t="s">
        <v>349</v>
      </c>
      <c r="C162" s="12" t="s">
        <v>350</v>
      </c>
      <c r="D162" s="15" t="s">
        <v>108</v>
      </c>
      <c r="E162" s="85">
        <v>230631.916666667</v>
      </c>
      <c r="F162" s="909">
        <v>196364.416666667</v>
      </c>
      <c r="G162" s="916">
        <v>0</v>
      </c>
      <c r="H162" s="916"/>
      <c r="I162" s="916">
        <f t="shared" si="29"/>
        <v>0</v>
      </c>
      <c r="J162" s="916">
        <f t="shared" si="30"/>
        <v>0</v>
      </c>
    </row>
    <row r="163" customHeight="1" spans="1:10">
      <c r="A163" s="27">
        <v>25</v>
      </c>
      <c r="B163" s="18" t="s">
        <v>351</v>
      </c>
      <c r="C163" s="12" t="s">
        <v>569</v>
      </c>
      <c r="D163" s="15" t="s">
        <v>105</v>
      </c>
      <c r="E163" s="85">
        <v>236804.083333333</v>
      </c>
      <c r="F163" s="909">
        <v>200549.416666667</v>
      </c>
      <c r="G163" s="916">
        <v>0</v>
      </c>
      <c r="H163" s="916"/>
      <c r="I163" s="916">
        <f t="shared" si="29"/>
        <v>0</v>
      </c>
      <c r="J163" s="916">
        <f t="shared" si="30"/>
        <v>0</v>
      </c>
    </row>
    <row r="164" customHeight="1" spans="1:10">
      <c r="A164" s="27">
        <v>26</v>
      </c>
      <c r="B164" s="18" t="s">
        <v>352</v>
      </c>
      <c r="C164" s="12" t="s">
        <v>348</v>
      </c>
      <c r="D164" s="15" t="s">
        <v>108</v>
      </c>
      <c r="E164" s="85">
        <v>230631.916666667</v>
      </c>
      <c r="F164" s="909">
        <v>196364.416666667</v>
      </c>
      <c r="G164" s="916">
        <v>0</v>
      </c>
      <c r="H164" s="916"/>
      <c r="I164" s="916">
        <f t="shared" si="29"/>
        <v>0</v>
      </c>
      <c r="J164" s="916">
        <f t="shared" si="30"/>
        <v>0</v>
      </c>
    </row>
    <row r="165" customHeight="1" spans="1:10">
      <c r="A165" s="27">
        <v>27</v>
      </c>
      <c r="B165" s="18" t="s">
        <v>353</v>
      </c>
      <c r="C165" s="12" t="s">
        <v>354</v>
      </c>
      <c r="D165" s="15" t="s">
        <v>111</v>
      </c>
      <c r="E165" s="676">
        <v>224459.75</v>
      </c>
      <c r="F165" s="909">
        <v>192179.416666667</v>
      </c>
      <c r="G165" s="916"/>
      <c r="H165" s="916"/>
      <c r="I165" s="916">
        <f t="shared" si="29"/>
        <v>0</v>
      </c>
      <c r="J165" s="916">
        <f t="shared" si="30"/>
        <v>0</v>
      </c>
    </row>
    <row r="166" customHeight="1" spans="1:10">
      <c r="A166" s="27">
        <v>28</v>
      </c>
      <c r="B166" s="18" t="s">
        <v>355</v>
      </c>
      <c r="C166" s="12" t="s">
        <v>354</v>
      </c>
      <c r="D166" s="15" t="s">
        <v>111</v>
      </c>
      <c r="E166" s="676">
        <v>224459.75</v>
      </c>
      <c r="F166" s="909">
        <v>192179.416666667</v>
      </c>
      <c r="G166" s="916"/>
      <c r="H166" s="916"/>
      <c r="I166" s="916">
        <f t="shared" si="29"/>
        <v>0</v>
      </c>
      <c r="J166" s="916">
        <f t="shared" si="30"/>
        <v>0</v>
      </c>
    </row>
    <row r="167" customHeight="1" spans="1:10">
      <c r="A167" s="27">
        <v>29</v>
      </c>
      <c r="B167" s="11" t="s">
        <v>361</v>
      </c>
      <c r="C167" s="12" t="s">
        <v>362</v>
      </c>
      <c r="D167" s="15" t="s">
        <v>375</v>
      </c>
      <c r="E167" s="226">
        <v>173859.5</v>
      </c>
      <c r="F167" s="921">
        <v>159288.583333333</v>
      </c>
      <c r="G167" s="916">
        <v>2313.575</v>
      </c>
      <c r="H167" s="916">
        <f>0.025*F167</f>
        <v>3982.21458333333</v>
      </c>
      <c r="I167" s="916">
        <f t="shared" si="29"/>
        <v>1668.63958333333</v>
      </c>
      <c r="J167" s="916">
        <f t="shared" si="30"/>
        <v>47786.5749999999</v>
      </c>
    </row>
    <row r="168" customHeight="1" spans="1:10">
      <c r="A168" s="27">
        <v>30</v>
      </c>
      <c r="B168" s="11" t="s">
        <v>364</v>
      </c>
      <c r="C168" s="12" t="s">
        <v>362</v>
      </c>
      <c r="D168" s="15" t="s">
        <v>375</v>
      </c>
      <c r="E168" s="226">
        <v>173859.5</v>
      </c>
      <c r="F168" s="921">
        <v>159288.583333333</v>
      </c>
      <c r="G168" s="916">
        <v>0</v>
      </c>
      <c r="H168" s="916"/>
      <c r="I168" s="916">
        <f t="shared" si="29"/>
        <v>0</v>
      </c>
      <c r="J168" s="916">
        <f t="shared" si="30"/>
        <v>0</v>
      </c>
    </row>
    <row r="169" customHeight="1" spans="1:10">
      <c r="A169" s="27">
        <v>31</v>
      </c>
      <c r="B169" s="11" t="s">
        <v>570</v>
      </c>
      <c r="C169" s="12" t="s">
        <v>362</v>
      </c>
      <c r="D169" s="15" t="s">
        <v>375</v>
      </c>
      <c r="E169" s="226">
        <v>173859.5</v>
      </c>
      <c r="F169" s="921">
        <v>159288.583333333</v>
      </c>
      <c r="G169" s="916">
        <v>0</v>
      </c>
      <c r="H169" s="916"/>
      <c r="I169" s="916">
        <f t="shared" si="29"/>
        <v>0</v>
      </c>
      <c r="J169" s="916">
        <f t="shared" si="30"/>
        <v>0</v>
      </c>
    </row>
    <row r="170" customHeight="1" spans="1:10">
      <c r="A170" s="27">
        <v>32</v>
      </c>
      <c r="B170" s="11" t="s">
        <v>365</v>
      </c>
      <c r="C170" s="12" t="s">
        <v>362</v>
      </c>
      <c r="D170" s="15" t="s">
        <v>375</v>
      </c>
      <c r="E170" s="226">
        <v>173859.5</v>
      </c>
      <c r="F170" s="921">
        <v>159288.583333333</v>
      </c>
      <c r="G170" s="916">
        <v>2313.575</v>
      </c>
      <c r="H170" s="916">
        <v>3982.21458333333</v>
      </c>
      <c r="I170" s="916">
        <f t="shared" si="29"/>
        <v>1668.63958333333</v>
      </c>
      <c r="J170" s="916">
        <f t="shared" si="30"/>
        <v>47786.575</v>
      </c>
    </row>
    <row r="171" customHeight="1" spans="1:10">
      <c r="A171" s="27">
        <v>33</v>
      </c>
      <c r="B171" s="11" t="s">
        <v>366</v>
      </c>
      <c r="C171" s="12" t="s">
        <v>362</v>
      </c>
      <c r="D171" s="15" t="s">
        <v>375</v>
      </c>
      <c r="E171" s="226">
        <v>173859.5</v>
      </c>
      <c r="F171" s="921">
        <v>159288.583333333</v>
      </c>
      <c r="G171" s="916"/>
      <c r="H171" s="916"/>
      <c r="I171" s="916">
        <f t="shared" si="29"/>
        <v>0</v>
      </c>
      <c r="J171" s="916">
        <f t="shared" si="30"/>
        <v>0</v>
      </c>
    </row>
    <row r="172" customHeight="1" spans="1:10">
      <c r="A172" s="27">
        <v>34</v>
      </c>
      <c r="B172" s="11" t="s">
        <v>367</v>
      </c>
      <c r="C172" s="12" t="s">
        <v>362</v>
      </c>
      <c r="D172" s="15" t="s">
        <v>388</v>
      </c>
      <c r="E172" s="226">
        <v>168598.166666667</v>
      </c>
      <c r="F172" s="921">
        <v>155678.666666667</v>
      </c>
      <c r="G172" s="916"/>
      <c r="H172" s="916"/>
      <c r="I172" s="916">
        <f t="shared" si="29"/>
        <v>0</v>
      </c>
      <c r="J172" s="916">
        <f t="shared" si="30"/>
        <v>0</v>
      </c>
    </row>
    <row r="173" customHeight="1" spans="1:10">
      <c r="A173" s="27">
        <v>35</v>
      </c>
      <c r="B173" s="11" t="s">
        <v>369</v>
      </c>
      <c r="C173" s="12" t="s">
        <v>362</v>
      </c>
      <c r="D173" s="15" t="s">
        <v>388</v>
      </c>
      <c r="E173" s="226">
        <v>168598.166666667</v>
      </c>
      <c r="F173" s="921">
        <v>155678.666666667</v>
      </c>
      <c r="G173" s="916"/>
      <c r="H173" s="916"/>
      <c r="I173" s="916">
        <f t="shared" si="29"/>
        <v>0</v>
      </c>
      <c r="J173" s="916">
        <f t="shared" si="30"/>
        <v>0</v>
      </c>
    </row>
    <row r="174" customHeight="1" spans="1:10">
      <c r="A174" s="27">
        <v>36</v>
      </c>
      <c r="B174" s="14" t="s">
        <v>370</v>
      </c>
      <c r="C174" s="12" t="s">
        <v>362</v>
      </c>
      <c r="D174" s="15" t="s">
        <v>388</v>
      </c>
      <c r="E174" s="226">
        <v>168598.166666667</v>
      </c>
      <c r="F174" s="921">
        <v>155678.666666667</v>
      </c>
      <c r="G174" s="916"/>
      <c r="H174" s="916"/>
      <c r="I174" s="916">
        <f t="shared" si="29"/>
        <v>0</v>
      </c>
      <c r="J174" s="916">
        <f t="shared" si="30"/>
        <v>0</v>
      </c>
    </row>
    <row r="175" customHeight="1" spans="1:10">
      <c r="A175" s="27">
        <v>37</v>
      </c>
      <c r="B175" s="11" t="s">
        <v>371</v>
      </c>
      <c r="C175" s="12" t="s">
        <v>362</v>
      </c>
      <c r="D175" s="15" t="s">
        <v>388</v>
      </c>
      <c r="E175" s="226">
        <v>168598.166666667</v>
      </c>
      <c r="F175" s="921">
        <v>155678.666666667</v>
      </c>
      <c r="G175" s="916"/>
      <c r="H175" s="916"/>
      <c r="I175" s="916">
        <f t="shared" si="29"/>
        <v>0</v>
      </c>
      <c r="J175" s="916">
        <f t="shared" si="30"/>
        <v>0</v>
      </c>
    </row>
    <row r="176" customHeight="1" spans="1:10">
      <c r="A176" s="27">
        <v>38</v>
      </c>
      <c r="B176" s="18" t="s">
        <v>372</v>
      </c>
      <c r="C176" s="12" t="s">
        <v>362</v>
      </c>
      <c r="D176" s="15" t="s">
        <v>388</v>
      </c>
      <c r="E176" s="226">
        <v>168598.166666667</v>
      </c>
      <c r="F176" s="921">
        <v>155678.666666667</v>
      </c>
      <c r="G176" s="916"/>
      <c r="H176" s="916"/>
      <c r="I176" s="916">
        <f t="shared" si="29"/>
        <v>0</v>
      </c>
      <c r="J176" s="916">
        <f t="shared" si="30"/>
        <v>0</v>
      </c>
    </row>
    <row r="177" customHeight="1" spans="1:10">
      <c r="A177" s="27">
        <v>39</v>
      </c>
      <c r="B177" s="18" t="s">
        <v>359</v>
      </c>
      <c r="C177" s="12" t="s">
        <v>362</v>
      </c>
      <c r="D177" s="15" t="s">
        <v>388</v>
      </c>
      <c r="E177" s="226">
        <v>168598.166666667</v>
      </c>
      <c r="F177" s="921">
        <v>155678.666666667</v>
      </c>
      <c r="G177" s="916"/>
      <c r="H177" s="916"/>
      <c r="I177" s="916">
        <f t="shared" si="29"/>
        <v>0</v>
      </c>
      <c r="J177" s="916">
        <f t="shared" si="30"/>
        <v>0</v>
      </c>
    </row>
    <row r="178" customHeight="1" spans="1:10">
      <c r="A178" s="27">
        <v>40</v>
      </c>
      <c r="B178" s="11" t="s">
        <v>373</v>
      </c>
      <c r="C178" s="12" t="s">
        <v>374</v>
      </c>
      <c r="D178" s="15" t="s">
        <v>510</v>
      </c>
      <c r="E178" s="85">
        <v>158075.5</v>
      </c>
      <c r="F178" s="921">
        <v>148459</v>
      </c>
      <c r="G178" s="916"/>
      <c r="H178" s="916"/>
      <c r="I178" s="916">
        <f t="shared" si="29"/>
        <v>0</v>
      </c>
      <c r="J178" s="916">
        <f t="shared" si="30"/>
        <v>0</v>
      </c>
    </row>
    <row r="179" customHeight="1" spans="1:10">
      <c r="A179" s="27">
        <v>41</v>
      </c>
      <c r="B179" s="11" t="s">
        <v>376</v>
      </c>
      <c r="C179" s="12" t="s">
        <v>374</v>
      </c>
      <c r="D179" s="15" t="s">
        <v>510</v>
      </c>
      <c r="E179" s="85">
        <v>158075.5</v>
      </c>
      <c r="F179" s="921">
        <v>148459</v>
      </c>
      <c r="G179" s="916"/>
      <c r="H179" s="916"/>
      <c r="I179" s="916">
        <f t="shared" si="29"/>
        <v>0</v>
      </c>
      <c r="J179" s="916">
        <f t="shared" si="30"/>
        <v>0</v>
      </c>
    </row>
    <row r="180" customHeight="1" spans="1:10">
      <c r="A180" s="27">
        <v>42</v>
      </c>
      <c r="B180" s="18" t="s">
        <v>377</v>
      </c>
      <c r="C180" s="12" t="s">
        <v>374</v>
      </c>
      <c r="D180" s="15" t="s">
        <v>381</v>
      </c>
      <c r="E180" s="85">
        <v>163336.833333333</v>
      </c>
      <c r="F180" s="921">
        <v>152068.833333333</v>
      </c>
      <c r="G180" s="916"/>
      <c r="H180" s="916"/>
      <c r="I180" s="916">
        <f t="shared" si="29"/>
        <v>0</v>
      </c>
      <c r="J180" s="916">
        <f t="shared" si="30"/>
        <v>0</v>
      </c>
    </row>
    <row r="181" customHeight="1" spans="1:10">
      <c r="A181" s="27">
        <v>43</v>
      </c>
      <c r="B181" s="11" t="s">
        <v>379</v>
      </c>
      <c r="C181" s="12" t="s">
        <v>393</v>
      </c>
      <c r="D181" s="15" t="s">
        <v>511</v>
      </c>
      <c r="E181" s="85">
        <v>152814.166666667</v>
      </c>
      <c r="F181" s="921">
        <v>144849.083333333</v>
      </c>
      <c r="G181" s="916"/>
      <c r="H181" s="916"/>
      <c r="I181" s="916">
        <f t="shared" si="29"/>
        <v>0</v>
      </c>
      <c r="J181" s="916">
        <f t="shared" si="30"/>
        <v>0</v>
      </c>
    </row>
    <row r="182" customHeight="1" spans="1:10">
      <c r="A182" s="27">
        <v>44</v>
      </c>
      <c r="B182" s="11" t="s">
        <v>382</v>
      </c>
      <c r="C182" s="12" t="s">
        <v>390</v>
      </c>
      <c r="D182" s="15" t="s">
        <v>571</v>
      </c>
      <c r="E182" s="85">
        <v>94145.75</v>
      </c>
      <c r="F182" s="921">
        <v>101053.25</v>
      </c>
      <c r="G182" s="916"/>
      <c r="H182" s="916"/>
      <c r="I182" s="916">
        <f t="shared" si="29"/>
        <v>0</v>
      </c>
      <c r="J182" s="916">
        <f t="shared" si="30"/>
        <v>0</v>
      </c>
    </row>
    <row r="183" customHeight="1" spans="1:10">
      <c r="A183" s="27">
        <v>45</v>
      </c>
      <c r="B183" s="11" t="s">
        <v>383</v>
      </c>
      <c r="C183" s="12" t="s">
        <v>390</v>
      </c>
      <c r="D183" s="15" t="s">
        <v>571</v>
      </c>
      <c r="E183" s="85">
        <v>94145.75</v>
      </c>
      <c r="F183" s="921">
        <v>101053.25</v>
      </c>
      <c r="G183" s="916"/>
      <c r="H183" s="916"/>
      <c r="I183" s="916">
        <f t="shared" si="29"/>
        <v>0</v>
      </c>
      <c r="J183" s="916">
        <f t="shared" si="30"/>
        <v>0</v>
      </c>
    </row>
    <row r="184" customHeight="1" spans="1:10">
      <c r="A184" s="27">
        <v>46</v>
      </c>
      <c r="B184" s="11" t="s">
        <v>384</v>
      </c>
      <c r="C184" s="12" t="s">
        <v>390</v>
      </c>
      <c r="D184" s="15" t="s">
        <v>571</v>
      </c>
      <c r="E184" s="85">
        <v>94145.75</v>
      </c>
      <c r="F184" s="921">
        <v>101053.25</v>
      </c>
      <c r="G184" s="916"/>
      <c r="H184" s="916"/>
      <c r="I184" s="916">
        <f t="shared" si="29"/>
        <v>0</v>
      </c>
      <c r="J184" s="916">
        <f t="shared" si="30"/>
        <v>0</v>
      </c>
    </row>
    <row r="185" customHeight="1" spans="1:10">
      <c r="A185" s="27">
        <v>47</v>
      </c>
      <c r="B185" s="11" t="s">
        <v>385</v>
      </c>
      <c r="C185" s="12" t="s">
        <v>390</v>
      </c>
      <c r="D185" s="15" t="s">
        <v>571</v>
      </c>
      <c r="E185" s="85">
        <v>94145.75</v>
      </c>
      <c r="F185" s="921">
        <v>101053.25</v>
      </c>
      <c r="G185" s="916"/>
      <c r="H185" s="916"/>
      <c r="I185" s="916">
        <f t="shared" si="29"/>
        <v>0</v>
      </c>
      <c r="J185" s="916">
        <f t="shared" si="30"/>
        <v>0</v>
      </c>
    </row>
    <row r="186" customHeight="1" spans="1:10">
      <c r="A186" s="27">
        <v>48</v>
      </c>
      <c r="B186" s="11" t="s">
        <v>386</v>
      </c>
      <c r="C186" s="12" t="s">
        <v>390</v>
      </c>
      <c r="D186" s="15" t="s">
        <v>571</v>
      </c>
      <c r="E186" s="85">
        <v>94145.75</v>
      </c>
      <c r="F186" s="921">
        <v>101053.25</v>
      </c>
      <c r="G186" s="916"/>
      <c r="H186" s="916"/>
      <c r="I186" s="916">
        <f t="shared" si="29"/>
        <v>0</v>
      </c>
      <c r="J186" s="916">
        <f t="shared" si="30"/>
        <v>0</v>
      </c>
    </row>
    <row r="187" customHeight="1" spans="1:10">
      <c r="A187" s="27">
        <v>49</v>
      </c>
      <c r="B187" s="18" t="s">
        <v>387</v>
      </c>
      <c r="C187" s="12" t="s">
        <v>390</v>
      </c>
      <c r="D187" s="15" t="s">
        <v>571</v>
      </c>
      <c r="E187" s="85">
        <v>94145.75</v>
      </c>
      <c r="F187" s="921">
        <v>101053.25</v>
      </c>
      <c r="G187" s="916"/>
      <c r="H187" s="916"/>
      <c r="I187" s="916">
        <f t="shared" si="29"/>
        <v>0</v>
      </c>
      <c r="J187" s="916">
        <f t="shared" si="30"/>
        <v>0</v>
      </c>
    </row>
    <row r="188" customHeight="1" spans="1:10">
      <c r="A188" s="27">
        <v>50</v>
      </c>
      <c r="B188" s="18" t="s">
        <v>389</v>
      </c>
      <c r="C188" s="12" t="s">
        <v>390</v>
      </c>
      <c r="D188" s="15" t="s">
        <v>571</v>
      </c>
      <c r="E188" s="85">
        <v>94145.75</v>
      </c>
      <c r="F188" s="921">
        <v>101053.25</v>
      </c>
      <c r="G188" s="916"/>
      <c r="H188" s="916"/>
      <c r="I188" s="916">
        <f t="shared" si="29"/>
        <v>0</v>
      </c>
      <c r="J188" s="916">
        <f t="shared" si="30"/>
        <v>0</v>
      </c>
    </row>
    <row r="189" customHeight="1" spans="1:10">
      <c r="A189" s="27">
        <v>51</v>
      </c>
      <c r="B189" s="11" t="s">
        <v>572</v>
      </c>
      <c r="C189" s="12" t="s">
        <v>393</v>
      </c>
      <c r="D189" s="15" t="s">
        <v>571</v>
      </c>
      <c r="E189" s="85">
        <v>94145.75</v>
      </c>
      <c r="F189" s="921">
        <v>101053.25</v>
      </c>
      <c r="G189" s="916"/>
      <c r="H189" s="916"/>
      <c r="I189" s="916">
        <f t="shared" si="29"/>
        <v>0</v>
      </c>
      <c r="J189" s="916">
        <f t="shared" si="30"/>
        <v>0</v>
      </c>
    </row>
    <row r="190" customHeight="1" spans="1:10">
      <c r="A190" s="27">
        <v>52</v>
      </c>
      <c r="B190" s="11" t="s">
        <v>392</v>
      </c>
      <c r="C190" s="12" t="s">
        <v>393</v>
      </c>
      <c r="D190" s="15" t="s">
        <v>571</v>
      </c>
      <c r="E190" s="85">
        <v>94145.75</v>
      </c>
      <c r="F190" s="921">
        <v>101053.25</v>
      </c>
      <c r="G190" s="916"/>
      <c r="H190" s="916"/>
      <c r="I190" s="916">
        <f t="shared" si="29"/>
        <v>0</v>
      </c>
      <c r="J190" s="916">
        <f t="shared" si="30"/>
        <v>0</v>
      </c>
    </row>
    <row r="191" customHeight="1" spans="1:10">
      <c r="A191" s="27">
        <v>53</v>
      </c>
      <c r="B191" s="18" t="s">
        <v>360</v>
      </c>
      <c r="C191" s="12" t="s">
        <v>395</v>
      </c>
      <c r="D191" s="15" t="s">
        <v>573</v>
      </c>
      <c r="E191" s="85">
        <v>91598</v>
      </c>
      <c r="F191" s="921">
        <v>99486.9166666667</v>
      </c>
      <c r="G191" s="916"/>
      <c r="H191" s="916"/>
      <c r="I191" s="916">
        <f t="shared" si="29"/>
        <v>0</v>
      </c>
      <c r="J191" s="916">
        <f t="shared" si="30"/>
        <v>0</v>
      </c>
    </row>
    <row r="192" customHeight="1" spans="1:10">
      <c r="A192" s="27">
        <v>54</v>
      </c>
      <c r="B192" s="18" t="s">
        <v>394</v>
      </c>
      <c r="C192" s="12" t="s">
        <v>395</v>
      </c>
      <c r="D192" s="15" t="s">
        <v>398</v>
      </c>
      <c r="E192" s="85">
        <v>86502.5</v>
      </c>
      <c r="F192" s="921">
        <v>96354.25</v>
      </c>
      <c r="G192" s="916"/>
      <c r="H192" s="916"/>
      <c r="I192" s="916">
        <f t="shared" si="29"/>
        <v>0</v>
      </c>
      <c r="J192" s="916">
        <f t="shared" si="30"/>
        <v>0</v>
      </c>
    </row>
    <row r="193" customHeight="1" spans="1:10">
      <c r="A193" s="27">
        <v>55</v>
      </c>
      <c r="B193" s="18" t="s">
        <v>397</v>
      </c>
      <c r="C193" s="12" t="s">
        <v>395</v>
      </c>
      <c r="D193" s="15" t="s">
        <v>400</v>
      </c>
      <c r="E193" s="85">
        <v>83933</v>
      </c>
      <c r="F193" s="921">
        <v>94788.1666666667</v>
      </c>
      <c r="G193" s="916"/>
      <c r="H193" s="916"/>
      <c r="I193" s="916">
        <f t="shared" si="29"/>
        <v>0</v>
      </c>
      <c r="J193" s="916">
        <f t="shared" si="30"/>
        <v>0</v>
      </c>
    </row>
    <row r="194" customHeight="1" spans="1:10">
      <c r="A194" s="27">
        <v>56</v>
      </c>
      <c r="B194" s="18" t="s">
        <v>401</v>
      </c>
      <c r="C194" s="12" t="s">
        <v>402</v>
      </c>
      <c r="D194" s="15" t="s">
        <v>513</v>
      </c>
      <c r="E194" s="85">
        <v>78733.8333333333</v>
      </c>
      <c r="F194" s="909">
        <v>91578.25</v>
      </c>
      <c r="G194" s="916"/>
      <c r="H194" s="916"/>
      <c r="I194" s="916">
        <f t="shared" si="29"/>
        <v>0</v>
      </c>
      <c r="J194" s="916">
        <f t="shared" si="30"/>
        <v>0</v>
      </c>
    </row>
    <row r="195" customHeight="1" spans="1:10">
      <c r="A195" s="27">
        <v>57</v>
      </c>
      <c r="B195" s="18" t="s">
        <v>404</v>
      </c>
      <c r="C195" s="12" t="s">
        <v>402</v>
      </c>
      <c r="D195" s="15" t="s">
        <v>513</v>
      </c>
      <c r="E195" s="85">
        <v>78733.8333333333</v>
      </c>
      <c r="F195" s="909">
        <v>91578.25</v>
      </c>
      <c r="G195" s="916"/>
      <c r="H195" s="916"/>
      <c r="I195" s="916">
        <f t="shared" si="29"/>
        <v>0</v>
      </c>
      <c r="J195" s="916">
        <f t="shared" si="30"/>
        <v>0</v>
      </c>
    </row>
    <row r="196" customHeight="1" spans="1:10">
      <c r="A196" s="27">
        <v>58</v>
      </c>
      <c r="B196" s="18" t="s">
        <v>405</v>
      </c>
      <c r="C196" s="12" t="s">
        <v>402</v>
      </c>
      <c r="D196" s="15" t="s">
        <v>513</v>
      </c>
      <c r="E196" s="85">
        <v>78733.8333333333</v>
      </c>
      <c r="F196" s="909">
        <v>91578.25</v>
      </c>
      <c r="G196" s="916"/>
      <c r="H196" s="916"/>
      <c r="I196" s="916">
        <f t="shared" si="29"/>
        <v>0</v>
      </c>
      <c r="J196" s="916">
        <f t="shared" si="30"/>
        <v>0</v>
      </c>
    </row>
    <row r="197" customHeight="1" spans="1:10">
      <c r="A197" s="27">
        <v>59</v>
      </c>
      <c r="B197" s="18" t="s">
        <v>406</v>
      </c>
      <c r="C197" s="12" t="s">
        <v>407</v>
      </c>
      <c r="D197" s="15" t="s">
        <v>396</v>
      </c>
      <c r="E197" s="85">
        <v>89050.25</v>
      </c>
      <c r="F197" s="909">
        <v>97920.6666666667</v>
      </c>
      <c r="G197" s="916"/>
      <c r="H197" s="916"/>
      <c r="I197" s="916">
        <f t="shared" si="29"/>
        <v>0</v>
      </c>
      <c r="J197" s="916">
        <f t="shared" si="30"/>
        <v>0</v>
      </c>
    </row>
    <row r="198" customHeight="1" spans="1:10">
      <c r="A198" s="27">
        <v>60</v>
      </c>
      <c r="B198" s="18" t="s">
        <v>409</v>
      </c>
      <c r="C198" s="12" t="s">
        <v>407</v>
      </c>
      <c r="D198" s="15" t="s">
        <v>396</v>
      </c>
      <c r="E198" s="85">
        <v>89050.25</v>
      </c>
      <c r="F198" s="909">
        <v>97920.6666666667</v>
      </c>
      <c r="G198" s="916"/>
      <c r="H198" s="916"/>
      <c r="I198" s="916">
        <f t="shared" si="29"/>
        <v>0</v>
      </c>
      <c r="J198" s="916">
        <f t="shared" si="30"/>
        <v>0</v>
      </c>
    </row>
    <row r="199" ht="30.75" customHeight="1" spans="1:10">
      <c r="A199" s="27"/>
      <c r="B199" s="8" t="s">
        <v>120</v>
      </c>
      <c r="C199" s="28" t="s">
        <v>574</v>
      </c>
      <c r="D199" s="29"/>
      <c r="E199" s="93">
        <f t="shared" ref="E199:J199" si="31">SUM(E139:E198)</f>
        <v>14787756.9166667</v>
      </c>
      <c r="F199" s="912">
        <f t="shared" si="31"/>
        <v>12563688.5</v>
      </c>
      <c r="G199" s="93">
        <f t="shared" si="31"/>
        <v>72300.4916666667</v>
      </c>
      <c r="H199" s="93">
        <f t="shared" si="31"/>
        <v>101993.847916667</v>
      </c>
      <c r="I199" s="93">
        <f t="shared" si="31"/>
        <v>29693.3562499999</v>
      </c>
      <c r="J199" s="93">
        <f t="shared" si="31"/>
        <v>1223926.175</v>
      </c>
    </row>
    <row r="200" ht="30" customHeight="1" spans="1:10">
      <c r="A200" s="4"/>
      <c r="B200" s="30" t="s">
        <v>575</v>
      </c>
      <c r="C200" s="31">
        <f>C39+C46+C57+C62+C72+C81+C94+C102+C112+C123+C136+C199</f>
        <v>153</v>
      </c>
      <c r="D200" s="32"/>
      <c r="E200" s="227">
        <f t="shared" ref="E200:J200" si="32">E199+E136+E123+E118+E112+E102+E94+E81+E72+E62+E57+E46+E39</f>
        <v>62694852.3336667</v>
      </c>
      <c r="F200" s="923">
        <f t="shared" si="32"/>
        <v>49444664.75</v>
      </c>
      <c r="G200" s="227">
        <f t="shared" si="32"/>
        <v>267480.25625</v>
      </c>
      <c r="H200" s="227">
        <f t="shared" si="32"/>
        <v>373109.295833334</v>
      </c>
      <c r="I200" s="924">
        <f t="shared" si="32"/>
        <v>105629.039583333</v>
      </c>
      <c r="J200" s="227">
        <f t="shared" si="32"/>
        <v>4477311.55</v>
      </c>
    </row>
    <row r="201" s="1" customFormat="1" ht="35.25" customHeight="1" spans="1:7">
      <c r="A201" s="4"/>
      <c r="B201" s="30" t="s">
        <v>576</v>
      </c>
      <c r="C201" s="31">
        <v>22</v>
      </c>
      <c r="D201" s="32"/>
      <c r="E201" s="227">
        <v>6563729.25</v>
      </c>
      <c r="F201" s="227">
        <v>5346094.83333333</v>
      </c>
      <c r="G201" s="227"/>
    </row>
    <row r="202" ht="30" customHeight="1" spans="1:10">
      <c r="A202" s="4"/>
      <c r="B202" s="30" t="s">
        <v>577</v>
      </c>
      <c r="C202" s="31">
        <f>SUM(C200:C201)</f>
        <v>175</v>
      </c>
      <c r="D202" s="32"/>
      <c r="E202" s="227">
        <f t="shared" ref="E202:J202" si="33">E200+E201</f>
        <v>69258581.5836667</v>
      </c>
      <c r="F202" s="227">
        <f t="shared" si="33"/>
        <v>54790759.5833333</v>
      </c>
      <c r="G202" s="227">
        <f t="shared" si="33"/>
        <v>267480.25625</v>
      </c>
      <c r="H202" s="227">
        <f t="shared" si="33"/>
        <v>373109.295833334</v>
      </c>
      <c r="I202" s="227">
        <f t="shared" si="33"/>
        <v>105629.039583333</v>
      </c>
      <c r="J202" s="227">
        <f t="shared" si="33"/>
        <v>4477311.55</v>
      </c>
    </row>
    <row r="203" customHeight="1" spans="6:10">
      <c r="F203" s="1"/>
      <c r="G203" s="13"/>
      <c r="H203" s="13"/>
      <c r="I203" s="13"/>
      <c r="J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5"/>
  <sheetViews>
    <sheetView topLeftCell="A4" workbookViewId="0">
      <selection activeCell="AB114" sqref="AB114"/>
    </sheetView>
  </sheetViews>
  <sheetFormatPr defaultColWidth="9.13636363636364" defaultRowHeight="13"/>
  <cols>
    <col min="1" max="1" width="6.85454545454545" style="296" customWidth="1"/>
    <col min="2" max="2" width="34.2727272727273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926" customWidth="1"/>
    <col min="27" max="27" width="16.2818181818182" style="808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927"/>
    </row>
    <row r="2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927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927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928" t="s">
        <v>616</v>
      </c>
      <c r="AA4" s="463" t="s">
        <v>483</v>
      </c>
      <c r="AB4" s="477" t="s">
        <v>617</v>
      </c>
    </row>
    <row r="5" ht="15" spans="1:31">
      <c r="A5" s="464">
        <v>1</v>
      </c>
      <c r="B5" s="81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929"/>
      <c r="AA5" s="806"/>
      <c r="AB5" s="930"/>
      <c r="AC5" s="479"/>
      <c r="AD5" s="479"/>
      <c r="AE5" s="479"/>
    </row>
    <row r="6" ht="15.5" spans="1:31">
      <c r="A6" s="464">
        <v>3</v>
      </c>
      <c r="B6" s="643" t="s">
        <v>23</v>
      </c>
      <c r="C6" s="465">
        <v>2246372.08333333</v>
      </c>
      <c r="D6" s="466">
        <v>12</v>
      </c>
      <c r="E6" s="467">
        <f t="shared" ref="E6:E36" si="0">C6*D6</f>
        <v>26956465</v>
      </c>
      <c r="F6" s="467"/>
      <c r="G6" s="467">
        <v>0</v>
      </c>
      <c r="H6" s="467"/>
      <c r="I6" s="467">
        <f t="shared" ref="I6:I36" si="1">E6-F6-G6-H6</f>
        <v>26956465</v>
      </c>
      <c r="J6" s="467">
        <v>200000</v>
      </c>
      <c r="K6" s="467">
        <v>0.2</v>
      </c>
      <c r="L6" s="467">
        <f t="shared" ref="L6:L36" si="2">I6*K6</f>
        <v>5391292.99999999</v>
      </c>
      <c r="M6" s="467">
        <f t="shared" ref="M6:M36" si="3">J6+L6</f>
        <v>5591292.99999999</v>
      </c>
      <c r="N6" s="467">
        <f t="shared" ref="N6:N36" si="4">F6+G6+H6+M6</f>
        <v>5591292.99999999</v>
      </c>
      <c r="O6" s="467">
        <f t="shared" ref="O6:O36" si="5">E6-N6</f>
        <v>21365172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34" si="11">24%*(O6-3200000)</f>
        <v>4359641.27999999</v>
      </c>
      <c r="V6" s="467">
        <f t="shared" ref="V6:V36" si="12">P6+Q6+R6+S6+T6+U6</f>
        <v>4919641.27999999</v>
      </c>
      <c r="W6" s="474">
        <v>12</v>
      </c>
      <c r="X6" s="467">
        <f t="shared" ref="X6:X36" si="13">V6/W6</f>
        <v>409970.106666666</v>
      </c>
      <c r="Y6" s="467"/>
      <c r="Z6" s="929">
        <f t="shared" ref="Z6:Z36" si="14">X6</f>
        <v>409970.106666666</v>
      </c>
      <c r="AA6" s="806">
        <v>350184.010730667</v>
      </c>
      <c r="AB6" s="806">
        <f t="shared" ref="AB6:AB36" si="15">Z6-AA6</f>
        <v>59786.0959359991</v>
      </c>
      <c r="AC6" s="479"/>
      <c r="AD6" s="479"/>
      <c r="AE6" s="479"/>
    </row>
    <row r="7" ht="15.5" spans="1:31">
      <c r="A7" s="464">
        <v>4</v>
      </c>
      <c r="B7" s="643" t="s">
        <v>26</v>
      </c>
      <c r="C7" s="465">
        <v>1095306.75</v>
      </c>
      <c r="D7" s="466">
        <v>12</v>
      </c>
      <c r="E7" s="467">
        <f t="shared" si="0"/>
        <v>13143681</v>
      </c>
      <c r="F7" s="467"/>
      <c r="G7" s="467">
        <v>869094.48</v>
      </c>
      <c r="H7" s="467"/>
      <c r="I7" s="467">
        <f t="shared" si="1"/>
        <v>12274586.52</v>
      </c>
      <c r="J7" s="467">
        <v>200000</v>
      </c>
      <c r="K7" s="467">
        <v>0.2</v>
      </c>
      <c r="L7" s="467">
        <f t="shared" si="2"/>
        <v>2454917.304</v>
      </c>
      <c r="M7" s="467">
        <f t="shared" si="3"/>
        <v>2654917.304</v>
      </c>
      <c r="N7" s="467">
        <f t="shared" si="4"/>
        <v>3524011.784</v>
      </c>
      <c r="O7" s="467">
        <f t="shared" si="5"/>
        <v>9619669.216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1540720.61184</v>
      </c>
      <c r="V7" s="467">
        <f t="shared" si="12"/>
        <v>2100720.61184</v>
      </c>
      <c r="W7" s="474">
        <v>12</v>
      </c>
      <c r="X7" s="467">
        <f t="shared" si="13"/>
        <v>175060.050986667</v>
      </c>
      <c r="Y7" s="467"/>
      <c r="Z7" s="929">
        <f t="shared" si="14"/>
        <v>175060.050986667</v>
      </c>
      <c r="AA7" s="806">
        <v>149812.262826667</v>
      </c>
      <c r="AB7" s="806">
        <f t="shared" si="15"/>
        <v>25247.7881599997</v>
      </c>
      <c r="AC7" s="479"/>
      <c r="AD7" s="479"/>
      <c r="AE7" s="479"/>
    </row>
    <row r="8" ht="15.5" spans="1:31">
      <c r="A8" s="464">
        <v>5</v>
      </c>
      <c r="B8" s="639" t="s">
        <v>29</v>
      </c>
      <c r="C8" s="465">
        <v>1295306.75</v>
      </c>
      <c r="D8" s="466">
        <v>12</v>
      </c>
      <c r="E8" s="467">
        <f t="shared" si="0"/>
        <v>15543681</v>
      </c>
      <c r="F8" s="467"/>
      <c r="G8" s="467">
        <v>0</v>
      </c>
      <c r="H8" s="467"/>
      <c r="I8" s="467">
        <f t="shared" si="1"/>
        <v>15543681</v>
      </c>
      <c r="J8" s="467">
        <v>200000</v>
      </c>
      <c r="K8" s="467">
        <v>0.2</v>
      </c>
      <c r="L8" s="467">
        <f t="shared" si="2"/>
        <v>3108736.2</v>
      </c>
      <c r="M8" s="467">
        <f t="shared" si="3"/>
        <v>3308736.2</v>
      </c>
      <c r="N8" s="467">
        <f t="shared" si="4"/>
        <v>3308736.2</v>
      </c>
      <c r="O8" s="467">
        <f t="shared" si="5"/>
        <v>12234944.8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2168386.752</v>
      </c>
      <c r="V8" s="467">
        <f t="shared" si="12"/>
        <v>2728386.752</v>
      </c>
      <c r="W8" s="474">
        <v>12</v>
      </c>
      <c r="X8" s="467">
        <f t="shared" si="13"/>
        <v>227365.562666667</v>
      </c>
      <c r="Y8" s="467"/>
      <c r="Z8" s="929">
        <f t="shared" si="14"/>
        <v>227365.562666667</v>
      </c>
      <c r="AA8" s="806">
        <v>199922.314666667</v>
      </c>
      <c r="AB8" s="806">
        <f t="shared" si="15"/>
        <v>27443.2479999997</v>
      </c>
      <c r="AC8" s="479"/>
      <c r="AD8" s="479"/>
      <c r="AE8" s="479"/>
    </row>
    <row r="9" ht="15.5" spans="1:31">
      <c r="A9" s="464">
        <v>6</v>
      </c>
      <c r="B9" s="643" t="s">
        <v>31</v>
      </c>
      <c r="C9" s="465">
        <v>1085306.75</v>
      </c>
      <c r="D9" s="466">
        <v>12</v>
      </c>
      <c r="E9" s="467">
        <f t="shared" si="0"/>
        <v>13023681</v>
      </c>
      <c r="F9" s="467">
        <v>166400.85</v>
      </c>
      <c r="G9" s="467">
        <v>869094.48</v>
      </c>
      <c r="H9" s="467"/>
      <c r="I9" s="467">
        <f t="shared" si="1"/>
        <v>11988185.67</v>
      </c>
      <c r="J9" s="467">
        <v>200000</v>
      </c>
      <c r="K9" s="467">
        <v>0.2</v>
      </c>
      <c r="L9" s="467">
        <f t="shared" si="2"/>
        <v>2397637.134</v>
      </c>
      <c r="M9" s="467">
        <f t="shared" si="3"/>
        <v>2597637.134</v>
      </c>
      <c r="N9" s="467">
        <f t="shared" si="4"/>
        <v>3633132.464</v>
      </c>
      <c r="O9" s="467">
        <f t="shared" si="5"/>
        <v>9390548.536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1485731.64864</v>
      </c>
      <c r="V9" s="467">
        <f t="shared" si="12"/>
        <v>2045731.64864</v>
      </c>
      <c r="W9" s="474">
        <v>12</v>
      </c>
      <c r="X9" s="467">
        <f t="shared" si="13"/>
        <v>170477.637386667</v>
      </c>
      <c r="Y9" s="467"/>
      <c r="Z9" s="929">
        <f t="shared" si="14"/>
        <v>170477.637386667</v>
      </c>
      <c r="AA9" s="806">
        <v>147687.527610667</v>
      </c>
      <c r="AB9" s="806">
        <f t="shared" si="15"/>
        <v>22790.1097759997</v>
      </c>
      <c r="AC9" s="479"/>
      <c r="AD9" s="479"/>
      <c r="AE9" s="479"/>
    </row>
    <row r="10" ht="15.5" spans="1:31">
      <c r="A10" s="464">
        <v>7</v>
      </c>
      <c r="B10" s="643" t="s">
        <v>33</v>
      </c>
      <c r="C10" s="473">
        <v>992711.083333333</v>
      </c>
      <c r="D10" s="466">
        <v>12</v>
      </c>
      <c r="E10" s="467">
        <f t="shared" si="0"/>
        <v>11912533</v>
      </c>
      <c r="F10" s="467">
        <v>157015.95</v>
      </c>
      <c r="G10" s="467">
        <v>818602.64</v>
      </c>
      <c r="H10" s="467"/>
      <c r="I10" s="467">
        <f t="shared" si="1"/>
        <v>10936914.41</v>
      </c>
      <c r="J10" s="467">
        <v>200000</v>
      </c>
      <c r="K10" s="467">
        <v>0.2</v>
      </c>
      <c r="L10" s="467">
        <f t="shared" si="2"/>
        <v>2187382.882</v>
      </c>
      <c r="M10" s="467">
        <f t="shared" si="3"/>
        <v>2387382.882</v>
      </c>
      <c r="N10" s="467">
        <f t="shared" si="4"/>
        <v>3363001.472</v>
      </c>
      <c r="O10" s="467">
        <f t="shared" si="5"/>
        <v>8549531.528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1283887.56672</v>
      </c>
      <c r="V10" s="467">
        <f t="shared" si="12"/>
        <v>1843887.56672</v>
      </c>
      <c r="W10" s="474">
        <v>12</v>
      </c>
      <c r="X10" s="467">
        <f t="shared" si="13"/>
        <v>153657.297226667</v>
      </c>
      <c r="Y10" s="467"/>
      <c r="Z10" s="929">
        <f t="shared" si="14"/>
        <v>153657.297226667</v>
      </c>
      <c r="AA10" s="806">
        <v>129694.695226667</v>
      </c>
      <c r="AB10" s="806">
        <f t="shared" si="15"/>
        <v>23962.6019999996</v>
      </c>
      <c r="AC10" s="479"/>
      <c r="AD10" s="479"/>
      <c r="AE10" s="479"/>
    </row>
    <row r="11" ht="15.5" spans="1:31">
      <c r="A11" s="464">
        <v>8</v>
      </c>
      <c r="B11" s="643" t="s">
        <v>36</v>
      </c>
      <c r="C11" s="465">
        <v>1082595.5</v>
      </c>
      <c r="D11" s="466">
        <v>12</v>
      </c>
      <c r="E11" s="467">
        <f t="shared" si="0"/>
        <v>12991146</v>
      </c>
      <c r="F11" s="467">
        <v>133798.75</v>
      </c>
      <c r="G11" s="467">
        <v>693691.68</v>
      </c>
      <c r="H11" s="467"/>
      <c r="I11" s="467">
        <f t="shared" si="1"/>
        <v>12163655.57</v>
      </c>
      <c r="J11" s="467">
        <v>200000</v>
      </c>
      <c r="K11" s="467">
        <v>0.2</v>
      </c>
      <c r="L11" s="467">
        <f t="shared" si="2"/>
        <v>2432731.114</v>
      </c>
      <c r="M11" s="467">
        <f t="shared" si="3"/>
        <v>2632731.114</v>
      </c>
      <c r="N11" s="467">
        <f t="shared" si="4"/>
        <v>3460221.544</v>
      </c>
      <c r="O11" s="467">
        <f t="shared" si="5"/>
        <v>9530924.456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1519421.86944</v>
      </c>
      <c r="V11" s="467">
        <f t="shared" si="12"/>
        <v>2079421.86944</v>
      </c>
      <c r="W11" s="474">
        <v>12</v>
      </c>
      <c r="X11" s="467">
        <f t="shared" si="13"/>
        <v>173285.155786667</v>
      </c>
      <c r="Y11" s="467"/>
      <c r="Z11" s="929">
        <f t="shared" si="14"/>
        <v>173285.155786667</v>
      </c>
      <c r="AA11" s="806">
        <v>150463.109674667</v>
      </c>
      <c r="AB11" s="806">
        <f t="shared" si="15"/>
        <v>22822.0461119997</v>
      </c>
      <c r="AC11" s="479"/>
      <c r="AD11" s="479"/>
      <c r="AE11" s="479"/>
    </row>
    <row r="12" ht="15.5" spans="1:31">
      <c r="A12" s="464">
        <v>9</v>
      </c>
      <c r="B12" s="643" t="s">
        <v>39</v>
      </c>
      <c r="C12" s="465">
        <v>659657</v>
      </c>
      <c r="D12" s="466">
        <v>12</v>
      </c>
      <c r="E12" s="467">
        <f t="shared" si="0"/>
        <v>7915884</v>
      </c>
      <c r="F12" s="467"/>
      <c r="G12" s="467">
        <v>566070.72</v>
      </c>
      <c r="H12" s="467"/>
      <c r="I12" s="467">
        <f t="shared" si="1"/>
        <v>7349813.28</v>
      </c>
      <c r="J12" s="467">
        <v>200000</v>
      </c>
      <c r="K12" s="467">
        <v>0.2</v>
      </c>
      <c r="L12" s="467">
        <f t="shared" si="2"/>
        <v>1469962.656</v>
      </c>
      <c r="M12" s="467">
        <f t="shared" si="3"/>
        <v>1669962.656</v>
      </c>
      <c r="N12" s="467">
        <f t="shared" si="4"/>
        <v>2236033.376</v>
      </c>
      <c r="O12" s="467">
        <f t="shared" si="5"/>
        <v>5679850.624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595164.14976</v>
      </c>
      <c r="V12" s="467">
        <f t="shared" si="12"/>
        <v>1155164.14976</v>
      </c>
      <c r="W12" s="474">
        <v>12</v>
      </c>
      <c r="X12" s="467">
        <f t="shared" si="13"/>
        <v>96263.6791466667</v>
      </c>
      <c r="Y12" s="467"/>
      <c r="Z12" s="929">
        <f t="shared" si="14"/>
        <v>96263.6791466667</v>
      </c>
      <c r="AA12" s="806">
        <v>77666.4458666667</v>
      </c>
      <c r="AB12" s="806">
        <f t="shared" si="15"/>
        <v>18597.23328</v>
      </c>
      <c r="AC12" s="479"/>
      <c r="AD12" s="479"/>
      <c r="AE12" s="479"/>
    </row>
    <row r="13" ht="15.5" spans="1:31">
      <c r="A13" s="464">
        <v>10</v>
      </c>
      <c r="B13" s="639" t="s">
        <v>42</v>
      </c>
      <c r="C13" s="465">
        <v>1032595.5</v>
      </c>
      <c r="D13" s="466">
        <v>12</v>
      </c>
      <c r="E13" s="467">
        <f t="shared" si="0"/>
        <v>12391146</v>
      </c>
      <c r="F13" s="467"/>
      <c r="G13" s="467">
        <v>693691.68</v>
      </c>
      <c r="H13" s="467"/>
      <c r="I13" s="467">
        <f t="shared" si="1"/>
        <v>11697454.32</v>
      </c>
      <c r="J13" s="467">
        <v>200000</v>
      </c>
      <c r="K13" s="467">
        <v>0.2</v>
      </c>
      <c r="L13" s="467">
        <f t="shared" si="2"/>
        <v>2339490.864</v>
      </c>
      <c r="M13" s="467">
        <f t="shared" si="3"/>
        <v>2539490.864</v>
      </c>
      <c r="N13" s="467">
        <f t="shared" si="4"/>
        <v>3233182.544</v>
      </c>
      <c r="O13" s="467">
        <f t="shared" si="5"/>
        <v>9157963.456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1429911.22944</v>
      </c>
      <c r="V13" s="467">
        <f t="shared" si="12"/>
        <v>1989911.22944</v>
      </c>
      <c r="W13" s="474">
        <v>12</v>
      </c>
      <c r="X13" s="467">
        <f t="shared" si="13"/>
        <v>165825.935786667</v>
      </c>
      <c r="Y13" s="467"/>
      <c r="Z13" s="929">
        <f t="shared" si="14"/>
        <v>165825.935786667</v>
      </c>
      <c r="AA13" s="806">
        <v>141011.988957867</v>
      </c>
      <c r="AB13" s="806">
        <f t="shared" si="15"/>
        <v>24813.9468287997</v>
      </c>
      <c r="AC13" s="479"/>
      <c r="AD13" s="479"/>
      <c r="AE13" s="479"/>
    </row>
    <row r="14" ht="15.5" spans="1:31">
      <c r="A14" s="464">
        <v>11</v>
      </c>
      <c r="B14" s="643" t="s">
        <v>44</v>
      </c>
      <c r="C14" s="465">
        <v>948165.25</v>
      </c>
      <c r="D14" s="466">
        <v>12</v>
      </c>
      <c r="E14" s="467">
        <f t="shared" si="0"/>
        <v>11377983</v>
      </c>
      <c r="F14" s="467"/>
      <c r="G14" s="467">
        <v>535838.64</v>
      </c>
      <c r="H14" s="467"/>
      <c r="I14" s="467">
        <f t="shared" si="1"/>
        <v>10842144.36</v>
      </c>
      <c r="J14" s="467">
        <v>200000</v>
      </c>
      <c r="K14" s="467">
        <v>0.2</v>
      </c>
      <c r="L14" s="467">
        <f t="shared" si="2"/>
        <v>2168428.872</v>
      </c>
      <c r="M14" s="467">
        <f t="shared" si="3"/>
        <v>2368428.872</v>
      </c>
      <c r="N14" s="467">
        <f t="shared" si="4"/>
        <v>2904267.512</v>
      </c>
      <c r="O14" s="467">
        <f t="shared" si="5"/>
        <v>8473715.488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1265691.71712</v>
      </c>
      <c r="V14" s="467">
        <f t="shared" si="12"/>
        <v>1825691.71712</v>
      </c>
      <c r="W14" s="474">
        <v>12</v>
      </c>
      <c r="X14" s="467">
        <f t="shared" si="13"/>
        <v>152140.976426667</v>
      </c>
      <c r="Y14" s="467"/>
      <c r="Z14" s="929">
        <f t="shared" si="14"/>
        <v>152140.976426667</v>
      </c>
      <c r="AA14" s="806">
        <v>131753.408426667</v>
      </c>
      <c r="AB14" s="806">
        <f t="shared" si="15"/>
        <v>20387.5679999997</v>
      </c>
      <c r="AC14" s="479"/>
      <c r="AD14" s="479"/>
      <c r="AE14" s="479"/>
    </row>
    <row r="15" ht="15.5" spans="1:31">
      <c r="A15" s="464">
        <v>12</v>
      </c>
      <c r="B15" s="643" t="s">
        <v>47</v>
      </c>
      <c r="C15" s="465">
        <v>830713.916666666</v>
      </c>
      <c r="D15" s="466">
        <v>12</v>
      </c>
      <c r="E15" s="467">
        <f t="shared" si="0"/>
        <v>9968566.99999999</v>
      </c>
      <c r="F15" s="467"/>
      <c r="G15" s="468">
        <v>672685.36</v>
      </c>
      <c r="H15" s="467"/>
      <c r="I15" s="467">
        <f t="shared" si="1"/>
        <v>9295881.63999999</v>
      </c>
      <c r="J15" s="467">
        <v>200000</v>
      </c>
      <c r="K15" s="467">
        <v>0.2</v>
      </c>
      <c r="L15" s="467">
        <f t="shared" si="2"/>
        <v>1859176.328</v>
      </c>
      <c r="M15" s="467">
        <f t="shared" si="3"/>
        <v>2059176.328</v>
      </c>
      <c r="N15" s="467">
        <f t="shared" si="4"/>
        <v>2731861.688</v>
      </c>
      <c r="O15" s="467">
        <f t="shared" si="5"/>
        <v>7236705.31199999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968809.274879998</v>
      </c>
      <c r="V15" s="467">
        <f t="shared" si="12"/>
        <v>1528809.27488</v>
      </c>
      <c r="W15" s="474">
        <v>12</v>
      </c>
      <c r="X15" s="467">
        <f t="shared" si="13"/>
        <v>127400.772906667</v>
      </c>
      <c r="Y15" s="467"/>
      <c r="Z15" s="929">
        <f t="shared" si="14"/>
        <v>127400.772906667</v>
      </c>
      <c r="AA15" s="806">
        <v>106452</v>
      </c>
      <c r="AB15" s="806">
        <f t="shared" si="15"/>
        <v>20948.7729066665</v>
      </c>
      <c r="AC15" s="479"/>
      <c r="AD15" s="479"/>
      <c r="AE15" s="479"/>
    </row>
    <row r="16" ht="15.5" spans="1:31">
      <c r="A16" s="464">
        <v>13</v>
      </c>
      <c r="B16" s="643" t="s">
        <v>50</v>
      </c>
      <c r="C16" s="465">
        <v>661351.333333333</v>
      </c>
      <c r="D16" s="466">
        <v>12</v>
      </c>
      <c r="E16" s="467">
        <f t="shared" si="0"/>
        <v>7936216</v>
      </c>
      <c r="F16" s="467"/>
      <c r="G16" s="467">
        <v>519697.279999999</v>
      </c>
      <c r="H16" s="467"/>
      <c r="I16" s="467">
        <f t="shared" si="1"/>
        <v>7416518.72</v>
      </c>
      <c r="J16" s="467">
        <v>200000</v>
      </c>
      <c r="K16" s="467">
        <v>0.2</v>
      </c>
      <c r="L16" s="467">
        <f t="shared" si="2"/>
        <v>1483303.744</v>
      </c>
      <c r="M16" s="467">
        <f t="shared" si="3"/>
        <v>1683303.744</v>
      </c>
      <c r="N16" s="467">
        <f t="shared" si="4"/>
        <v>2203001.024</v>
      </c>
      <c r="O16" s="467">
        <f t="shared" si="5"/>
        <v>5733214.976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607971.594239999</v>
      </c>
      <c r="V16" s="467">
        <f t="shared" si="12"/>
        <v>1167971.59424</v>
      </c>
      <c r="W16" s="474">
        <v>12</v>
      </c>
      <c r="X16" s="467">
        <f t="shared" si="13"/>
        <v>97330.9661866666</v>
      </c>
      <c r="Y16" s="467"/>
      <c r="Z16" s="929">
        <f t="shared" si="14"/>
        <v>97330.9661866666</v>
      </c>
      <c r="AA16" s="806">
        <v>77470.3741866667</v>
      </c>
      <c r="AB16" s="806">
        <f t="shared" si="15"/>
        <v>19860.5919999999</v>
      </c>
      <c r="AC16" s="479"/>
      <c r="AD16" s="479"/>
      <c r="AE16" s="479"/>
    </row>
    <row r="17" ht="15.5" spans="1:31">
      <c r="A17" s="464">
        <v>14</v>
      </c>
      <c r="B17" s="351" t="s">
        <v>53</v>
      </c>
      <c r="C17" s="465">
        <v>846725.083333334</v>
      </c>
      <c r="D17" s="466">
        <v>12</v>
      </c>
      <c r="E17" s="467">
        <f t="shared" si="0"/>
        <v>10160701</v>
      </c>
      <c r="F17" s="467">
        <v>98713.4750000001</v>
      </c>
      <c r="G17" s="467">
        <v>505656.08</v>
      </c>
      <c r="H17" s="467"/>
      <c r="I17" s="467">
        <f t="shared" si="1"/>
        <v>9556331.44500001</v>
      </c>
      <c r="J17" s="467">
        <v>200000</v>
      </c>
      <c r="K17" s="467">
        <v>0.2</v>
      </c>
      <c r="L17" s="467">
        <f t="shared" si="2"/>
        <v>1911266.289</v>
      </c>
      <c r="M17" s="467">
        <f t="shared" si="3"/>
        <v>2111266.289</v>
      </c>
      <c r="N17" s="467">
        <f t="shared" si="4"/>
        <v>2715635.844</v>
      </c>
      <c r="O17" s="467">
        <f t="shared" si="5"/>
        <v>7445065.15600001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1018815.63744</v>
      </c>
      <c r="V17" s="467">
        <f t="shared" si="12"/>
        <v>1578815.63744</v>
      </c>
      <c r="W17" s="474">
        <v>12</v>
      </c>
      <c r="X17" s="467">
        <f t="shared" si="13"/>
        <v>131567.969786667</v>
      </c>
      <c r="Y17" s="467"/>
      <c r="Z17" s="929">
        <f t="shared" si="14"/>
        <v>131567.969786667</v>
      </c>
      <c r="AA17" s="806">
        <v>113474.903466667</v>
      </c>
      <c r="AB17" s="806">
        <f t="shared" si="15"/>
        <v>18093.0663199998</v>
      </c>
      <c r="AC17" s="479"/>
      <c r="AD17" s="479"/>
      <c r="AE17" s="479"/>
    </row>
    <row r="18" ht="15.5" spans="1:31">
      <c r="A18" s="464">
        <v>15</v>
      </c>
      <c r="B18" s="351" t="s">
        <v>56</v>
      </c>
      <c r="C18" s="465">
        <v>567472.75</v>
      </c>
      <c r="D18" s="466">
        <v>12</v>
      </c>
      <c r="E18" s="467">
        <f t="shared" si="0"/>
        <v>6809673</v>
      </c>
      <c r="F18" s="467">
        <v>93501.975</v>
      </c>
      <c r="G18" s="467">
        <v>477573.84</v>
      </c>
      <c r="H18" s="467"/>
      <c r="I18" s="467">
        <f t="shared" si="1"/>
        <v>6238597.185</v>
      </c>
      <c r="J18" s="467">
        <v>200000</v>
      </c>
      <c r="K18" s="467">
        <v>0.2</v>
      </c>
      <c r="L18" s="467">
        <f t="shared" si="2"/>
        <v>1247719.437</v>
      </c>
      <c r="M18" s="467">
        <f t="shared" si="3"/>
        <v>1447719.437</v>
      </c>
      <c r="N18" s="467">
        <f t="shared" si="4"/>
        <v>2018795.252</v>
      </c>
      <c r="O18" s="467">
        <f t="shared" si="5"/>
        <v>4790877.748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381810.65952</v>
      </c>
      <c r="V18" s="467">
        <f t="shared" si="12"/>
        <v>941810.65952</v>
      </c>
      <c r="W18" s="474">
        <v>12</v>
      </c>
      <c r="X18" s="467">
        <f t="shared" si="13"/>
        <v>78484.2216266667</v>
      </c>
      <c r="Y18" s="467"/>
      <c r="Z18" s="929">
        <f t="shared" si="14"/>
        <v>78484.2216266667</v>
      </c>
      <c r="AA18" s="806">
        <v>61040.2353066666</v>
      </c>
      <c r="AB18" s="806">
        <f t="shared" si="15"/>
        <v>17443.9863200001</v>
      </c>
      <c r="AC18" s="479"/>
      <c r="AD18" s="479"/>
      <c r="AE18" s="479"/>
    </row>
    <row r="19" ht="15.5" spans="1:31">
      <c r="A19" s="464">
        <v>16</v>
      </c>
      <c r="B19" s="351" t="s">
        <v>59</v>
      </c>
      <c r="C19" s="465">
        <v>617472.75</v>
      </c>
      <c r="D19" s="466">
        <v>12</v>
      </c>
      <c r="E19" s="467">
        <f t="shared" si="0"/>
        <v>7409673</v>
      </c>
      <c r="F19" s="467">
        <v>0</v>
      </c>
      <c r="G19" s="467">
        <v>477573.84</v>
      </c>
      <c r="H19" s="467"/>
      <c r="I19" s="467">
        <f t="shared" si="1"/>
        <v>6932099.16</v>
      </c>
      <c r="J19" s="467">
        <v>200000</v>
      </c>
      <c r="K19" s="467">
        <v>0.2</v>
      </c>
      <c r="L19" s="467">
        <f t="shared" si="2"/>
        <v>1386419.832</v>
      </c>
      <c r="M19" s="467">
        <f t="shared" si="3"/>
        <v>1586419.832</v>
      </c>
      <c r="N19" s="467">
        <f t="shared" si="4"/>
        <v>2063993.672</v>
      </c>
      <c r="O19" s="467">
        <f t="shared" si="5"/>
        <v>5345679.328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514963.03872</v>
      </c>
      <c r="V19" s="467">
        <f t="shared" si="12"/>
        <v>1074963.03872</v>
      </c>
      <c r="W19" s="474">
        <v>12</v>
      </c>
      <c r="X19" s="467">
        <f t="shared" si="13"/>
        <v>89580.2532266667</v>
      </c>
      <c r="Y19" s="467"/>
      <c r="Z19" s="929">
        <f t="shared" si="14"/>
        <v>89580.2532266667</v>
      </c>
      <c r="AA19" s="806">
        <v>70640.2353066667</v>
      </c>
      <c r="AB19" s="806">
        <f t="shared" si="15"/>
        <v>18940.01792</v>
      </c>
      <c r="AC19" s="479"/>
      <c r="AD19" s="479"/>
      <c r="AE19" s="479"/>
    </row>
    <row r="20" ht="15.5" spans="1:31">
      <c r="A20" s="464">
        <v>17</v>
      </c>
      <c r="B20" s="643" t="s">
        <v>61</v>
      </c>
      <c r="C20" s="465">
        <v>806497.166666667</v>
      </c>
      <c r="D20" s="466">
        <v>12</v>
      </c>
      <c r="E20" s="467">
        <f t="shared" si="0"/>
        <v>9677966</v>
      </c>
      <c r="F20" s="467">
        <v>93328.325</v>
      </c>
      <c r="G20" s="467">
        <v>476637.28</v>
      </c>
      <c r="H20" s="467"/>
      <c r="I20" s="467">
        <f t="shared" si="1"/>
        <v>9108000.39500001</v>
      </c>
      <c r="J20" s="467">
        <v>200000</v>
      </c>
      <c r="K20" s="467">
        <v>0.2</v>
      </c>
      <c r="L20" s="467">
        <f t="shared" si="2"/>
        <v>1821600.079</v>
      </c>
      <c r="M20" s="467">
        <f t="shared" si="3"/>
        <v>2021600.079</v>
      </c>
      <c r="N20" s="467">
        <f t="shared" si="4"/>
        <v>2591565.684</v>
      </c>
      <c r="O20" s="467">
        <f t="shared" si="5"/>
        <v>7086400.316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932736.075840001</v>
      </c>
      <c r="V20" s="467">
        <f t="shared" si="12"/>
        <v>1492736.07584</v>
      </c>
      <c r="W20" s="474">
        <v>12</v>
      </c>
      <c r="X20" s="467">
        <f t="shared" si="13"/>
        <v>124394.672986667</v>
      </c>
      <c r="Y20" s="467"/>
      <c r="Z20" s="929">
        <f t="shared" si="14"/>
        <v>124394.672986667</v>
      </c>
      <c r="AA20" s="806">
        <v>106297.15</v>
      </c>
      <c r="AB20" s="806">
        <f t="shared" si="15"/>
        <v>18097.5229866667</v>
      </c>
      <c r="AC20" s="479"/>
      <c r="AD20" s="479"/>
      <c r="AE20" s="479"/>
    </row>
    <row r="21" ht="15.5" spans="1:31">
      <c r="A21" s="464">
        <v>18</v>
      </c>
      <c r="B21" s="643" t="s">
        <v>64</v>
      </c>
      <c r="C21" s="465">
        <v>692662.666666667</v>
      </c>
      <c r="D21" s="466">
        <v>12</v>
      </c>
      <c r="E21" s="467">
        <f t="shared" si="0"/>
        <v>8311952</v>
      </c>
      <c r="F21" s="467"/>
      <c r="G21" s="467">
        <v>463356.160000001</v>
      </c>
      <c r="H21" s="467"/>
      <c r="I21" s="467">
        <f t="shared" si="1"/>
        <v>7848595.84</v>
      </c>
      <c r="J21" s="467">
        <v>200000</v>
      </c>
      <c r="K21" s="467">
        <v>0.2</v>
      </c>
      <c r="L21" s="467">
        <f t="shared" si="2"/>
        <v>1569719.168</v>
      </c>
      <c r="M21" s="467">
        <f t="shared" si="3"/>
        <v>1769719.168</v>
      </c>
      <c r="N21" s="467">
        <f t="shared" si="4"/>
        <v>2233075.328</v>
      </c>
      <c r="O21" s="467">
        <f t="shared" si="5"/>
        <v>6078876.672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690930.40128</v>
      </c>
      <c r="V21" s="467">
        <f t="shared" si="12"/>
        <v>1250930.40128</v>
      </c>
      <c r="W21" s="474">
        <v>12</v>
      </c>
      <c r="X21" s="467">
        <f t="shared" si="13"/>
        <v>104244.200106667</v>
      </c>
      <c r="Y21" s="467"/>
      <c r="Z21" s="929">
        <f t="shared" si="14"/>
        <v>104244.200106667</v>
      </c>
      <c r="AA21" s="806">
        <v>82601.2049066667</v>
      </c>
      <c r="AB21" s="806">
        <f t="shared" si="15"/>
        <v>21642.9952</v>
      </c>
      <c r="AC21" s="479"/>
      <c r="AD21" s="479"/>
      <c r="AE21" s="479"/>
    </row>
    <row r="22" ht="15.5" spans="1:31">
      <c r="A22" s="464">
        <v>19</v>
      </c>
      <c r="B22" s="639" t="s">
        <v>67</v>
      </c>
      <c r="C22" s="465">
        <v>754993.583333333</v>
      </c>
      <c r="D22" s="466">
        <v>12</v>
      </c>
      <c r="E22" s="467">
        <f t="shared" si="0"/>
        <v>9059923</v>
      </c>
      <c r="F22" s="467"/>
      <c r="G22" s="467">
        <v>436793.839999999</v>
      </c>
      <c r="H22" s="467"/>
      <c r="I22" s="467">
        <f t="shared" si="1"/>
        <v>8623129.16</v>
      </c>
      <c r="J22" s="467">
        <v>200000</v>
      </c>
      <c r="K22" s="467">
        <v>0.2</v>
      </c>
      <c r="L22" s="467">
        <f t="shared" si="2"/>
        <v>1724625.832</v>
      </c>
      <c r="M22" s="467">
        <f t="shared" si="3"/>
        <v>1924625.832</v>
      </c>
      <c r="N22" s="467">
        <f t="shared" si="4"/>
        <v>2361419.672</v>
      </c>
      <c r="O22" s="467">
        <f t="shared" si="5"/>
        <v>6698503.328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839640.798719999</v>
      </c>
      <c r="V22" s="467">
        <f t="shared" si="12"/>
        <v>1399640.79872</v>
      </c>
      <c r="W22" s="474">
        <v>12</v>
      </c>
      <c r="X22" s="467">
        <f t="shared" si="13"/>
        <v>116636.733226667</v>
      </c>
      <c r="Y22" s="467"/>
      <c r="Z22" s="929">
        <f t="shared" si="14"/>
        <v>116636.733226667</v>
      </c>
      <c r="AA22" s="806">
        <v>98711.1146666667</v>
      </c>
      <c r="AB22" s="806">
        <f t="shared" si="15"/>
        <v>17925.6185599999</v>
      </c>
      <c r="AC22" s="479"/>
      <c r="AD22" s="479"/>
      <c r="AE22" s="479"/>
    </row>
    <row r="23" ht="15.5" spans="1:31">
      <c r="A23" s="464">
        <v>20</v>
      </c>
      <c r="B23" s="643" t="s">
        <v>70</v>
      </c>
      <c r="C23" s="465">
        <v>564993.583333333</v>
      </c>
      <c r="D23" s="466">
        <v>12</v>
      </c>
      <c r="E23" s="467">
        <f t="shared" si="0"/>
        <v>6779923</v>
      </c>
      <c r="F23" s="467"/>
      <c r="G23" s="467">
        <v>436793.839999999</v>
      </c>
      <c r="H23" s="467"/>
      <c r="I23" s="467">
        <f t="shared" si="1"/>
        <v>6343129.16</v>
      </c>
      <c r="J23" s="467">
        <v>200000</v>
      </c>
      <c r="K23" s="467">
        <v>0.2</v>
      </c>
      <c r="L23" s="467">
        <f t="shared" si="2"/>
        <v>1268625.832</v>
      </c>
      <c r="M23" s="467">
        <f t="shared" si="3"/>
        <v>1468625.832</v>
      </c>
      <c r="N23" s="467">
        <f t="shared" si="4"/>
        <v>1905419.672</v>
      </c>
      <c r="O23" s="467">
        <f t="shared" si="5"/>
        <v>4874503.328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401880.798719999</v>
      </c>
      <c r="V23" s="467">
        <f t="shared" si="12"/>
        <v>961880.798719999</v>
      </c>
      <c r="W23" s="474">
        <v>12</v>
      </c>
      <c r="X23" s="467">
        <f t="shared" si="13"/>
        <v>80156.7332266666</v>
      </c>
      <c r="Y23" s="467"/>
      <c r="Z23" s="929">
        <f t="shared" si="14"/>
        <v>80156.7332266666</v>
      </c>
      <c r="AA23" s="806">
        <v>62231.1146666667</v>
      </c>
      <c r="AB23" s="806">
        <f t="shared" si="15"/>
        <v>17925.6185599999</v>
      </c>
      <c r="AC23" s="479"/>
      <c r="AD23" s="479"/>
      <c r="AE23" s="479"/>
    </row>
    <row r="24" ht="15.5" spans="1:31">
      <c r="A24" s="464">
        <v>21</v>
      </c>
      <c r="B24" s="639" t="s">
        <v>72</v>
      </c>
      <c r="C24" s="465">
        <v>641140.666666666</v>
      </c>
      <c r="D24" s="466">
        <v>12</v>
      </c>
      <c r="E24" s="467">
        <f t="shared" si="0"/>
        <v>7693687.99999999</v>
      </c>
      <c r="F24" s="467"/>
      <c r="G24" s="467">
        <v>365895.04</v>
      </c>
      <c r="H24" s="467"/>
      <c r="I24" s="467">
        <f t="shared" si="1"/>
        <v>7327792.95999999</v>
      </c>
      <c r="J24" s="467">
        <v>200000</v>
      </c>
      <c r="K24" s="467">
        <v>0.2</v>
      </c>
      <c r="L24" s="467">
        <f t="shared" si="2"/>
        <v>1465558.592</v>
      </c>
      <c r="M24" s="467">
        <f t="shared" si="3"/>
        <v>1665558.592</v>
      </c>
      <c r="N24" s="467">
        <f t="shared" si="4"/>
        <v>2031453.632</v>
      </c>
      <c r="O24" s="467">
        <f t="shared" si="5"/>
        <v>5662234.36799999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336000</v>
      </c>
      <c r="U24" s="467">
        <f t="shared" si="11"/>
        <v>590936.248319999</v>
      </c>
      <c r="V24" s="467">
        <f t="shared" si="12"/>
        <v>1150936.24832</v>
      </c>
      <c r="W24" s="474">
        <v>12</v>
      </c>
      <c r="X24" s="467">
        <f t="shared" si="13"/>
        <v>95911.3540266666</v>
      </c>
      <c r="Y24" s="467"/>
      <c r="Z24" s="929">
        <f t="shared" si="14"/>
        <v>95911.3540266666</v>
      </c>
      <c r="AA24" s="806">
        <v>80347.4269866667</v>
      </c>
      <c r="AB24" s="806">
        <f t="shared" si="15"/>
        <v>15563.9270399998</v>
      </c>
      <c r="AC24" s="479"/>
      <c r="AD24" s="479"/>
      <c r="AE24" s="479"/>
    </row>
    <row r="25" ht="15.5" spans="1:31">
      <c r="A25" s="464">
        <v>22</v>
      </c>
      <c r="B25" s="639" t="s">
        <v>75</v>
      </c>
      <c r="C25" s="465">
        <v>441140.666666666</v>
      </c>
      <c r="D25" s="466">
        <v>12</v>
      </c>
      <c r="E25" s="467">
        <f t="shared" si="0"/>
        <v>5293687.99999999</v>
      </c>
      <c r="F25" s="467"/>
      <c r="G25" s="467">
        <v>365895.04</v>
      </c>
      <c r="H25" s="467"/>
      <c r="I25" s="467">
        <f t="shared" si="1"/>
        <v>4927792.95999999</v>
      </c>
      <c r="J25" s="467">
        <v>200000</v>
      </c>
      <c r="K25" s="467">
        <v>0.2</v>
      </c>
      <c r="L25" s="467">
        <f t="shared" si="2"/>
        <v>985558.591999998</v>
      </c>
      <c r="M25" s="467">
        <f t="shared" si="3"/>
        <v>1185558.592</v>
      </c>
      <c r="N25" s="467">
        <f t="shared" si="4"/>
        <v>1551453.632</v>
      </c>
      <c r="O25" s="467">
        <f t="shared" si="5"/>
        <v>3742234.36799999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336000</v>
      </c>
      <c r="U25" s="467">
        <f t="shared" si="11"/>
        <v>130136.248319998</v>
      </c>
      <c r="V25" s="467">
        <f t="shared" si="12"/>
        <v>690136.248319998</v>
      </c>
      <c r="W25" s="474">
        <v>12</v>
      </c>
      <c r="X25" s="467">
        <f t="shared" si="13"/>
        <v>57511.3540266665</v>
      </c>
      <c r="Y25" s="467"/>
      <c r="Z25" s="929">
        <f t="shared" si="14"/>
        <v>57511.3540266665</v>
      </c>
      <c r="AA25" s="806">
        <v>42537.3319466667</v>
      </c>
      <c r="AB25" s="806">
        <f t="shared" si="15"/>
        <v>14974.0220799998</v>
      </c>
      <c r="AC25" s="479"/>
      <c r="AD25" s="479"/>
      <c r="AE25" s="479"/>
    </row>
    <row r="26" ht="15.5" spans="1:31">
      <c r="A26" s="464">
        <v>23</v>
      </c>
      <c r="B26" s="86" t="s">
        <v>485</v>
      </c>
      <c r="C26" s="465">
        <v>415320.666666667</v>
      </c>
      <c r="D26" s="466">
        <v>12</v>
      </c>
      <c r="E26" s="467">
        <f t="shared" si="0"/>
        <v>4983848</v>
      </c>
      <c r="F26" s="467"/>
      <c r="G26" s="467">
        <v>341107.840000001</v>
      </c>
      <c r="H26" s="467"/>
      <c r="I26" s="467">
        <f t="shared" si="1"/>
        <v>4642740.16</v>
      </c>
      <c r="J26" s="467">
        <v>200000</v>
      </c>
      <c r="K26" s="467">
        <v>0.2</v>
      </c>
      <c r="L26" s="467">
        <f t="shared" si="2"/>
        <v>928548.032000001</v>
      </c>
      <c r="M26" s="467">
        <f t="shared" si="3"/>
        <v>1128548.032</v>
      </c>
      <c r="N26" s="467">
        <f t="shared" si="4"/>
        <v>1469655.872</v>
      </c>
      <c r="O26" s="467">
        <f t="shared" si="5"/>
        <v>3514192.128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336000</v>
      </c>
      <c r="U26" s="467">
        <f t="shared" si="11"/>
        <v>75406.1107200006</v>
      </c>
      <c r="V26" s="467">
        <f t="shared" si="12"/>
        <v>635406.110720001</v>
      </c>
      <c r="W26" s="474">
        <v>12</v>
      </c>
      <c r="X26" s="467">
        <f t="shared" si="13"/>
        <v>52950.5092266667</v>
      </c>
      <c r="Y26" s="467"/>
      <c r="Z26" s="929">
        <f t="shared" si="14"/>
        <v>52950.5092266667</v>
      </c>
      <c r="AA26" s="806">
        <v>39052.3130666667</v>
      </c>
      <c r="AB26" s="806">
        <f t="shared" si="15"/>
        <v>13898.19616</v>
      </c>
      <c r="AC26" s="479"/>
      <c r="AD26" s="479"/>
      <c r="AE26" s="479"/>
    </row>
    <row r="27" ht="15.5" spans="1:31">
      <c r="A27" s="464">
        <v>24</v>
      </c>
      <c r="B27" s="351" t="s">
        <v>78</v>
      </c>
      <c r="C27" s="465">
        <v>415320.666666667</v>
      </c>
      <c r="D27" s="466">
        <v>12</v>
      </c>
      <c r="E27" s="467">
        <f t="shared" si="0"/>
        <v>4983848</v>
      </c>
      <c r="F27" s="467"/>
      <c r="G27" s="467">
        <v>341107.840000001</v>
      </c>
      <c r="H27" s="467"/>
      <c r="I27" s="467">
        <f t="shared" si="1"/>
        <v>4642740.16</v>
      </c>
      <c r="J27" s="467">
        <v>200000</v>
      </c>
      <c r="K27" s="467">
        <v>0.2</v>
      </c>
      <c r="L27" s="467">
        <f t="shared" si="2"/>
        <v>928548.032000001</v>
      </c>
      <c r="M27" s="467">
        <f t="shared" si="3"/>
        <v>1128548.032</v>
      </c>
      <c r="N27" s="467">
        <f t="shared" si="4"/>
        <v>1469655.872</v>
      </c>
      <c r="O27" s="467">
        <f t="shared" si="5"/>
        <v>3514192.128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336000</v>
      </c>
      <c r="U27" s="467">
        <f t="shared" si="11"/>
        <v>75406.1107200006</v>
      </c>
      <c r="V27" s="467">
        <f t="shared" si="12"/>
        <v>635406.110720001</v>
      </c>
      <c r="W27" s="474">
        <v>12</v>
      </c>
      <c r="X27" s="467">
        <f t="shared" si="13"/>
        <v>52950.5092266667</v>
      </c>
      <c r="Y27" s="467"/>
      <c r="Z27" s="929">
        <f t="shared" si="14"/>
        <v>52950.5092266667</v>
      </c>
      <c r="AA27" s="806">
        <v>39052.3130666667</v>
      </c>
      <c r="AB27" s="806">
        <f t="shared" si="15"/>
        <v>13898.19616</v>
      </c>
      <c r="AC27" s="479"/>
      <c r="AD27" s="479"/>
      <c r="AE27" s="479"/>
    </row>
    <row r="28" ht="15.5" spans="1:31">
      <c r="A28" s="464">
        <v>25</v>
      </c>
      <c r="B28" s="643" t="s">
        <v>81</v>
      </c>
      <c r="C28" s="465">
        <v>455320.666666667</v>
      </c>
      <c r="D28" s="466">
        <v>12</v>
      </c>
      <c r="E28" s="467">
        <f t="shared" si="0"/>
        <v>5463848</v>
      </c>
      <c r="F28" s="467"/>
      <c r="G28" s="467">
        <v>341107.840000001</v>
      </c>
      <c r="H28" s="467"/>
      <c r="I28" s="467">
        <f t="shared" si="1"/>
        <v>5122740.16</v>
      </c>
      <c r="J28" s="467">
        <v>200000</v>
      </c>
      <c r="K28" s="467">
        <v>0.2</v>
      </c>
      <c r="L28" s="467">
        <f t="shared" si="2"/>
        <v>1024548.032</v>
      </c>
      <c r="M28" s="467">
        <f t="shared" si="3"/>
        <v>1224548.032</v>
      </c>
      <c r="N28" s="467">
        <f t="shared" si="4"/>
        <v>1565655.872</v>
      </c>
      <c r="O28" s="467">
        <f t="shared" si="5"/>
        <v>3898192.128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336000</v>
      </c>
      <c r="U28" s="467">
        <f t="shared" si="11"/>
        <v>167566.110720001</v>
      </c>
      <c r="V28" s="467">
        <f t="shared" si="12"/>
        <v>727566.110720001</v>
      </c>
      <c r="W28" s="474">
        <v>12</v>
      </c>
      <c r="X28" s="467">
        <f t="shared" si="13"/>
        <v>60630.5092266667</v>
      </c>
      <c r="Y28" s="467"/>
      <c r="Z28" s="929">
        <f t="shared" si="14"/>
        <v>60630.5092266667</v>
      </c>
      <c r="AA28" s="806">
        <v>45772.3130666667</v>
      </c>
      <c r="AB28" s="806">
        <f t="shared" si="15"/>
        <v>14858.19616</v>
      </c>
      <c r="AC28" s="479"/>
      <c r="AD28" s="479"/>
      <c r="AE28" s="479"/>
    </row>
    <row r="29" ht="15.5" spans="1:31">
      <c r="A29" s="464">
        <v>26</v>
      </c>
      <c r="B29" s="351" t="s">
        <v>83</v>
      </c>
      <c r="C29" s="465">
        <v>407016.166666666</v>
      </c>
      <c r="D29" s="466">
        <v>12</v>
      </c>
      <c r="E29" s="467">
        <f t="shared" si="0"/>
        <v>4884193.99999999</v>
      </c>
      <c r="F29" s="467"/>
      <c r="G29" s="467">
        <v>333135.52</v>
      </c>
      <c r="H29" s="467"/>
      <c r="I29" s="467">
        <f t="shared" si="1"/>
        <v>4551058.47999999</v>
      </c>
      <c r="J29" s="467">
        <v>200000</v>
      </c>
      <c r="K29" s="467">
        <v>0.2</v>
      </c>
      <c r="L29" s="467">
        <f t="shared" si="2"/>
        <v>910211.695999998</v>
      </c>
      <c r="M29" s="467">
        <f t="shared" si="3"/>
        <v>1110211.696</v>
      </c>
      <c r="N29" s="467">
        <f t="shared" si="4"/>
        <v>1443347.216</v>
      </c>
      <c r="O29" s="467">
        <f t="shared" si="5"/>
        <v>3440846.78399999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336000</v>
      </c>
      <c r="U29" s="467">
        <f t="shared" si="11"/>
        <v>57803.2281599984</v>
      </c>
      <c r="V29" s="467">
        <f t="shared" si="12"/>
        <v>617803.228159998</v>
      </c>
      <c r="W29" s="474">
        <v>12</v>
      </c>
      <c r="X29" s="467">
        <f t="shared" si="13"/>
        <v>51483.6023466665</v>
      </c>
      <c r="Y29" s="467"/>
      <c r="Z29" s="929">
        <f t="shared" si="14"/>
        <v>51483.6023466665</v>
      </c>
      <c r="AA29" s="806">
        <v>37921.5005866667</v>
      </c>
      <c r="AB29" s="806">
        <f t="shared" si="15"/>
        <v>13562.1017599998</v>
      </c>
      <c r="AC29" s="479"/>
      <c r="AD29" s="479"/>
      <c r="AE29" s="479"/>
    </row>
    <row r="30" ht="15.5" spans="1:31">
      <c r="A30" s="464">
        <v>27</v>
      </c>
      <c r="B30" s="351" t="s">
        <v>86</v>
      </c>
      <c r="C30" s="465">
        <v>398711.666666667</v>
      </c>
      <c r="D30" s="466">
        <v>12</v>
      </c>
      <c r="E30" s="467">
        <f t="shared" si="0"/>
        <v>4784540</v>
      </c>
      <c r="F30" s="467"/>
      <c r="G30" s="467">
        <v>325163.200000001</v>
      </c>
      <c r="H30" s="467"/>
      <c r="I30" s="467">
        <f t="shared" si="1"/>
        <v>4459376.8</v>
      </c>
      <c r="J30" s="467">
        <v>200000</v>
      </c>
      <c r="K30" s="467">
        <v>0.2</v>
      </c>
      <c r="L30" s="467">
        <f t="shared" si="2"/>
        <v>891875.360000001</v>
      </c>
      <c r="M30" s="467">
        <f t="shared" si="3"/>
        <v>1091875.36</v>
      </c>
      <c r="N30" s="467">
        <f t="shared" si="4"/>
        <v>1417038.56</v>
      </c>
      <c r="O30" s="467">
        <f t="shared" si="5"/>
        <v>3367501.44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336000</v>
      </c>
      <c r="U30" s="467">
        <f t="shared" si="11"/>
        <v>40200.3456000005</v>
      </c>
      <c r="V30" s="467">
        <f t="shared" si="12"/>
        <v>600200.345600001</v>
      </c>
      <c r="W30" s="474">
        <v>12</v>
      </c>
      <c r="X30" s="467">
        <f t="shared" si="13"/>
        <v>50016.6954666667</v>
      </c>
      <c r="Y30" s="467"/>
      <c r="Z30" s="929">
        <f t="shared" si="14"/>
        <v>50016.6954666667</v>
      </c>
      <c r="AA30" s="806">
        <v>36790.6881066667</v>
      </c>
      <c r="AB30" s="806">
        <f t="shared" si="15"/>
        <v>13226.00736</v>
      </c>
      <c r="AC30" s="479"/>
      <c r="AD30" s="479"/>
      <c r="AE30" s="479"/>
    </row>
    <row r="31" ht="15.5" spans="1:31">
      <c r="A31" s="464">
        <v>28</v>
      </c>
      <c r="B31" s="351" t="s">
        <v>89</v>
      </c>
      <c r="C31" s="465">
        <v>398711.666666667</v>
      </c>
      <c r="D31" s="466">
        <v>12</v>
      </c>
      <c r="E31" s="467">
        <f t="shared" si="0"/>
        <v>4784540</v>
      </c>
      <c r="F31" s="467"/>
      <c r="G31" s="468">
        <v>325163.200000001</v>
      </c>
      <c r="H31" s="467"/>
      <c r="I31" s="467">
        <f t="shared" si="1"/>
        <v>4459376.8</v>
      </c>
      <c r="J31" s="467">
        <v>200000</v>
      </c>
      <c r="K31" s="467">
        <v>0.2</v>
      </c>
      <c r="L31" s="467">
        <f t="shared" si="2"/>
        <v>891875.360000001</v>
      </c>
      <c r="M31" s="467">
        <f t="shared" si="3"/>
        <v>1091875.36</v>
      </c>
      <c r="N31" s="467">
        <f t="shared" si="4"/>
        <v>1417038.56</v>
      </c>
      <c r="O31" s="467">
        <f t="shared" si="5"/>
        <v>3367501.44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336000</v>
      </c>
      <c r="U31" s="467">
        <f t="shared" si="11"/>
        <v>40200.3456000005</v>
      </c>
      <c r="V31" s="467">
        <f t="shared" si="12"/>
        <v>600200.345600001</v>
      </c>
      <c r="W31" s="474">
        <v>12</v>
      </c>
      <c r="X31" s="467">
        <f t="shared" si="13"/>
        <v>50016.6954666667</v>
      </c>
      <c r="Y31" s="467"/>
      <c r="Z31" s="929">
        <f t="shared" si="14"/>
        <v>50016.6954666667</v>
      </c>
      <c r="AA31" s="806">
        <v>36790.6881066667</v>
      </c>
      <c r="AB31" s="806">
        <f t="shared" si="15"/>
        <v>13226.00736</v>
      </c>
      <c r="AC31" s="479"/>
      <c r="AD31" s="479"/>
      <c r="AE31" s="479"/>
    </row>
    <row r="32" ht="15.5" spans="1:31">
      <c r="A32" s="464">
        <v>29</v>
      </c>
      <c r="B32" s="351" t="s">
        <v>91</v>
      </c>
      <c r="C32" s="465">
        <v>415320.666666667</v>
      </c>
      <c r="D32" s="466">
        <v>12</v>
      </c>
      <c r="E32" s="467">
        <f t="shared" si="0"/>
        <v>4983848</v>
      </c>
      <c r="F32" s="467"/>
      <c r="G32" s="468">
        <v>341107.840000001</v>
      </c>
      <c r="H32" s="467"/>
      <c r="I32" s="467">
        <f t="shared" si="1"/>
        <v>4642740.16</v>
      </c>
      <c r="J32" s="467">
        <v>200000</v>
      </c>
      <c r="K32" s="467">
        <v>0.2</v>
      </c>
      <c r="L32" s="467">
        <f t="shared" si="2"/>
        <v>928548.032000001</v>
      </c>
      <c r="M32" s="467">
        <f t="shared" si="3"/>
        <v>1128548.032</v>
      </c>
      <c r="N32" s="467">
        <f t="shared" si="4"/>
        <v>1469655.872</v>
      </c>
      <c r="O32" s="467">
        <f t="shared" si="5"/>
        <v>3514192.128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336000</v>
      </c>
      <c r="U32" s="467">
        <f t="shared" si="11"/>
        <v>75406.1107200006</v>
      </c>
      <c r="V32" s="467">
        <f t="shared" si="12"/>
        <v>635406.110720001</v>
      </c>
      <c r="W32" s="474">
        <v>12</v>
      </c>
      <c r="X32" s="467">
        <f t="shared" si="13"/>
        <v>52950.5092266667</v>
      </c>
      <c r="Y32" s="467"/>
      <c r="Z32" s="929">
        <f t="shared" si="14"/>
        <v>52950.5092266667</v>
      </c>
      <c r="AA32" s="806">
        <v>39052.3130666667</v>
      </c>
      <c r="AB32" s="806">
        <f t="shared" si="15"/>
        <v>13898.19616</v>
      </c>
      <c r="AC32" s="479"/>
      <c r="AD32" s="479"/>
      <c r="AE32" s="479"/>
    </row>
    <row r="33" ht="15.5" spans="1:31">
      <c r="A33" s="464">
        <v>31</v>
      </c>
      <c r="B33" s="351" t="s">
        <v>93</v>
      </c>
      <c r="C33" s="467">
        <v>398711.666666667</v>
      </c>
      <c r="D33" s="466">
        <v>12</v>
      </c>
      <c r="E33" s="467">
        <f t="shared" si="0"/>
        <v>4784540</v>
      </c>
      <c r="F33" s="467"/>
      <c r="G33" s="468">
        <v>341107.840000001</v>
      </c>
      <c r="H33" s="467"/>
      <c r="I33" s="467">
        <f t="shared" si="1"/>
        <v>4443432.16</v>
      </c>
      <c r="J33" s="467">
        <v>200000</v>
      </c>
      <c r="K33" s="467">
        <v>0.2</v>
      </c>
      <c r="L33" s="467">
        <f t="shared" si="2"/>
        <v>888686.432000001</v>
      </c>
      <c r="M33" s="467">
        <f t="shared" si="3"/>
        <v>1088686.432</v>
      </c>
      <c r="N33" s="467">
        <f t="shared" si="4"/>
        <v>1429794.272</v>
      </c>
      <c r="O33" s="467">
        <f t="shared" si="5"/>
        <v>3354745.728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95000</v>
      </c>
      <c r="T33" s="467">
        <f t="shared" si="10"/>
        <v>336000</v>
      </c>
      <c r="U33" s="467">
        <f t="shared" si="11"/>
        <v>37138.9747200005</v>
      </c>
      <c r="V33" s="467">
        <f t="shared" si="12"/>
        <v>597138.974720001</v>
      </c>
      <c r="W33" s="474">
        <v>12</v>
      </c>
      <c r="X33" s="467">
        <f t="shared" si="13"/>
        <v>49761.5812266667</v>
      </c>
      <c r="Y33" s="467"/>
      <c r="Z33" s="929">
        <f t="shared" si="14"/>
        <v>49761.5812266667</v>
      </c>
      <c r="AA33" s="806">
        <v>36790.6881066667</v>
      </c>
      <c r="AB33" s="806">
        <f t="shared" si="15"/>
        <v>12970.89312</v>
      </c>
      <c r="AC33" s="479"/>
      <c r="AD33" s="479"/>
      <c r="AE33" s="479"/>
    </row>
    <row r="34" ht="15.5" spans="1:31">
      <c r="A34" s="464">
        <v>32</v>
      </c>
      <c r="B34" s="351" t="s">
        <v>95</v>
      </c>
      <c r="C34" s="467">
        <v>398711.666666667</v>
      </c>
      <c r="D34" s="466">
        <v>12</v>
      </c>
      <c r="E34" s="467">
        <f t="shared" si="0"/>
        <v>4784540</v>
      </c>
      <c r="F34" s="467"/>
      <c r="G34" s="468">
        <v>341107.840000001</v>
      </c>
      <c r="H34" s="467"/>
      <c r="I34" s="467">
        <f t="shared" si="1"/>
        <v>4443432.16</v>
      </c>
      <c r="J34" s="467">
        <v>200000</v>
      </c>
      <c r="K34" s="467">
        <v>0.2</v>
      </c>
      <c r="L34" s="467">
        <f t="shared" si="2"/>
        <v>888686.432000001</v>
      </c>
      <c r="M34" s="467">
        <f t="shared" si="3"/>
        <v>1088686.432</v>
      </c>
      <c r="N34" s="467">
        <f t="shared" si="4"/>
        <v>1429794.272</v>
      </c>
      <c r="O34" s="467">
        <f t="shared" si="5"/>
        <v>3354745.728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95000</v>
      </c>
      <c r="T34" s="467">
        <f t="shared" si="10"/>
        <v>336000</v>
      </c>
      <c r="U34" s="467">
        <f t="shared" si="11"/>
        <v>37138.9747200005</v>
      </c>
      <c r="V34" s="467">
        <f t="shared" si="12"/>
        <v>597138.974720001</v>
      </c>
      <c r="W34" s="474">
        <v>12</v>
      </c>
      <c r="X34" s="467">
        <f t="shared" si="13"/>
        <v>49761.5812266667</v>
      </c>
      <c r="Y34" s="467"/>
      <c r="Z34" s="929">
        <f t="shared" si="14"/>
        <v>49761.5812266667</v>
      </c>
      <c r="AA34" s="806">
        <v>36790.6881066667</v>
      </c>
      <c r="AB34" s="806">
        <f t="shared" si="15"/>
        <v>12970.89312</v>
      </c>
      <c r="AC34" s="479"/>
      <c r="AD34" s="479"/>
      <c r="AE34" s="479"/>
    </row>
    <row r="35" ht="15.5" spans="1:31">
      <c r="A35" s="464"/>
      <c r="B35" s="351" t="s">
        <v>103</v>
      </c>
      <c r="C35" s="471">
        <v>351910.75</v>
      </c>
      <c r="D35" s="466">
        <v>12</v>
      </c>
      <c r="E35" s="467">
        <f t="shared" si="0"/>
        <v>4222929</v>
      </c>
      <c r="F35" s="467"/>
      <c r="G35" s="468">
        <v>289834.32</v>
      </c>
      <c r="H35" s="467"/>
      <c r="I35" s="467">
        <f t="shared" si="1"/>
        <v>3933094.68</v>
      </c>
      <c r="J35" s="467">
        <v>200000</v>
      </c>
      <c r="K35" s="467">
        <v>0.2</v>
      </c>
      <c r="L35" s="467">
        <f t="shared" si="2"/>
        <v>786618.936</v>
      </c>
      <c r="M35" s="467">
        <f t="shared" si="3"/>
        <v>986618.936</v>
      </c>
      <c r="N35" s="467">
        <f t="shared" si="4"/>
        <v>1276453.256</v>
      </c>
      <c r="O35" s="467">
        <f t="shared" si="5"/>
        <v>2946475.744</v>
      </c>
      <c r="P35" s="467">
        <f t="shared" si="6"/>
        <v>21000</v>
      </c>
      <c r="Q35" s="467">
        <f t="shared" si="7"/>
        <v>33000</v>
      </c>
      <c r="R35" s="467">
        <f t="shared" si="8"/>
        <v>75000</v>
      </c>
      <c r="S35" s="467">
        <f t="shared" si="9"/>
        <v>95000</v>
      </c>
      <c r="T35" s="467">
        <f t="shared" si="10"/>
        <v>282759.90624</v>
      </c>
      <c r="U35" s="467"/>
      <c r="V35" s="467">
        <f t="shared" si="12"/>
        <v>506759.90624</v>
      </c>
      <c r="W35" s="467">
        <v>12</v>
      </c>
      <c r="X35" s="467">
        <f t="shared" si="13"/>
        <v>42229.9921866667</v>
      </c>
      <c r="Y35" s="467"/>
      <c r="Z35" s="929">
        <f t="shared" si="14"/>
        <v>42229.9921866667</v>
      </c>
      <c r="AA35" s="467">
        <v>30259.1656266667</v>
      </c>
      <c r="AB35" s="806">
        <f t="shared" si="15"/>
        <v>11970.82656</v>
      </c>
      <c r="AC35" s="479"/>
      <c r="AD35" s="479"/>
      <c r="AE35" s="479"/>
    </row>
    <row r="36" ht="31" spans="1:31">
      <c r="A36" s="464"/>
      <c r="B36" s="351" t="s">
        <v>106</v>
      </c>
      <c r="C36" s="467">
        <v>344900.833333334</v>
      </c>
      <c r="D36" s="466">
        <v>12</v>
      </c>
      <c r="E36" s="467">
        <f t="shared" si="0"/>
        <v>4138810.00000001</v>
      </c>
      <c r="F36" s="467"/>
      <c r="G36" s="468">
        <v>283104.8</v>
      </c>
      <c r="H36" s="467"/>
      <c r="I36" s="467">
        <f t="shared" si="1"/>
        <v>3855705.20000001</v>
      </c>
      <c r="J36" s="467">
        <v>200000</v>
      </c>
      <c r="K36" s="467">
        <v>0.2</v>
      </c>
      <c r="L36" s="467">
        <f t="shared" si="2"/>
        <v>771141.040000002</v>
      </c>
      <c r="M36" s="467">
        <f t="shared" si="3"/>
        <v>971141.040000002</v>
      </c>
      <c r="N36" s="467">
        <f t="shared" si="4"/>
        <v>1254245.84</v>
      </c>
      <c r="O36" s="467">
        <f t="shared" si="5"/>
        <v>2884564.16000001</v>
      </c>
      <c r="P36" s="467">
        <f t="shared" si="6"/>
        <v>21000</v>
      </c>
      <c r="Q36" s="467">
        <f t="shared" si="7"/>
        <v>33000</v>
      </c>
      <c r="R36" s="467">
        <f t="shared" si="8"/>
        <v>75000</v>
      </c>
      <c r="S36" s="467">
        <f t="shared" si="9"/>
        <v>95000</v>
      </c>
      <c r="T36" s="467">
        <f t="shared" si="10"/>
        <v>269758.473600001</v>
      </c>
      <c r="U36" s="467"/>
      <c r="V36" s="467">
        <f t="shared" si="12"/>
        <v>493758.473600001</v>
      </c>
      <c r="W36" s="467">
        <v>12</v>
      </c>
      <c r="X36" s="467">
        <f t="shared" si="13"/>
        <v>41146.5394666668</v>
      </c>
      <c r="Y36" s="467"/>
      <c r="Z36" s="929">
        <f t="shared" si="14"/>
        <v>41146.5394666668</v>
      </c>
      <c r="AA36" s="806">
        <v>29305.1955466667</v>
      </c>
      <c r="AB36" s="806">
        <f t="shared" si="15"/>
        <v>11841.3439200001</v>
      </c>
      <c r="AC36" s="479"/>
      <c r="AD36" s="479"/>
      <c r="AE36" s="479"/>
    </row>
    <row r="37" ht="15.5" spans="1:31">
      <c r="A37" s="464"/>
      <c r="B37" s="351"/>
      <c r="C37" s="467"/>
      <c r="D37" s="466"/>
      <c r="E37" s="467"/>
      <c r="F37" s="467"/>
      <c r="G37" s="468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67"/>
      <c r="X37" s="467"/>
      <c r="Y37" s="467"/>
      <c r="Z37" s="929"/>
      <c r="AA37" s="806"/>
      <c r="AB37" s="806"/>
      <c r="AC37" s="479"/>
      <c r="AD37" s="479"/>
      <c r="AE37" s="479"/>
    </row>
    <row r="38" ht="15" spans="1:31">
      <c r="A38" s="464"/>
      <c r="B38" s="864" t="s">
        <v>121</v>
      </c>
      <c r="C38" s="467"/>
      <c r="D38" s="466"/>
      <c r="E38" s="467"/>
      <c r="F38" s="467"/>
      <c r="G38" s="468"/>
      <c r="H38" s="467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67"/>
      <c r="X38" s="467"/>
      <c r="Y38" s="467"/>
      <c r="Z38" s="929"/>
      <c r="AA38" s="806"/>
      <c r="AB38" s="806"/>
      <c r="AC38" s="479"/>
      <c r="AD38" s="479"/>
      <c r="AE38" s="479"/>
    </row>
    <row r="39" ht="15.5" spans="1:31">
      <c r="A39" s="464"/>
      <c r="B39" s="351" t="s">
        <v>122</v>
      </c>
      <c r="C39" s="467">
        <v>1847106.41666666</v>
      </c>
      <c r="D39" s="466">
        <v>12</v>
      </c>
      <c r="E39" s="467">
        <f t="shared" ref="E39:E42" si="16">C39*D39</f>
        <v>22165276.9999999</v>
      </c>
      <c r="F39" s="467"/>
      <c r="G39" s="467">
        <v>1677222.16</v>
      </c>
      <c r="H39" s="467"/>
      <c r="I39" s="467">
        <f t="shared" ref="I39:I42" si="17">E39-F39-G39-H39</f>
        <v>20488054.8399999</v>
      </c>
      <c r="J39" s="467">
        <v>200000</v>
      </c>
      <c r="K39" s="467">
        <v>0.2</v>
      </c>
      <c r="L39" s="467">
        <f t="shared" ref="L39:L42" si="18">I39*K39</f>
        <v>4097610.96799998</v>
      </c>
      <c r="M39" s="467">
        <f t="shared" ref="M39:M42" si="19">J39+L39</f>
        <v>4297610.96799998</v>
      </c>
      <c r="N39" s="467">
        <f t="shared" ref="N39:N42" si="20">F39+G39+H39+M39</f>
        <v>5974833.12799998</v>
      </c>
      <c r="O39" s="467">
        <f t="shared" ref="O39:O42" si="21">E39-N39</f>
        <v>16190443.8719999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 t="shared" ref="U39:U42" si="27">24%*(O39-3200000)</f>
        <v>3117706.52927998</v>
      </c>
      <c r="V39" s="467">
        <f t="shared" ref="V39:V42" si="28">P39+Q39+R39+S39+T39+U39</f>
        <v>3677706.52927998</v>
      </c>
      <c r="W39" s="474">
        <v>12</v>
      </c>
      <c r="X39" s="467">
        <f t="shared" ref="X39:X42" si="29">V39/W39</f>
        <v>306475.544106665</v>
      </c>
      <c r="Y39" s="467"/>
      <c r="Z39" s="929">
        <f t="shared" ref="Z39:Z42" si="30">X39</f>
        <v>306475.544106665</v>
      </c>
      <c r="AA39" s="806">
        <v>251472.247466667</v>
      </c>
      <c r="AB39" s="806">
        <f t="shared" ref="AB39:AB42" si="31">Z39-AA39</f>
        <v>55003.2966399984</v>
      </c>
      <c r="AC39" s="479"/>
      <c r="AD39" s="479"/>
      <c r="AE39" s="479"/>
    </row>
    <row r="40" ht="15.5" spans="1:31">
      <c r="A40" s="464"/>
      <c r="B40" s="351" t="s">
        <v>127</v>
      </c>
      <c r="C40" s="467">
        <v>441140.666666666</v>
      </c>
      <c r="D40" s="466">
        <v>12</v>
      </c>
      <c r="E40" s="467">
        <f t="shared" si="16"/>
        <v>5293687.99999999</v>
      </c>
      <c r="F40" s="467"/>
      <c r="G40" s="467">
        <v>365895.04</v>
      </c>
      <c r="H40" s="467"/>
      <c r="I40" s="467">
        <f t="shared" si="17"/>
        <v>4927792.95999999</v>
      </c>
      <c r="J40" s="467">
        <v>200000</v>
      </c>
      <c r="K40" s="467">
        <v>0.2</v>
      </c>
      <c r="L40" s="467">
        <f t="shared" si="18"/>
        <v>985558.591999998</v>
      </c>
      <c r="M40" s="467">
        <f t="shared" si="19"/>
        <v>1185558.592</v>
      </c>
      <c r="N40" s="467">
        <f t="shared" si="20"/>
        <v>1551453.632</v>
      </c>
      <c r="O40" s="467">
        <f t="shared" si="21"/>
        <v>3742234.36799999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95000</v>
      </c>
      <c r="T40" s="467">
        <f t="shared" si="26"/>
        <v>336000</v>
      </c>
      <c r="U40" s="467">
        <f t="shared" si="27"/>
        <v>130136.248319998</v>
      </c>
      <c r="V40" s="467">
        <f t="shared" si="28"/>
        <v>690136.248319998</v>
      </c>
      <c r="W40" s="474">
        <v>12</v>
      </c>
      <c r="X40" s="467">
        <f t="shared" si="29"/>
        <v>57511.3540266665</v>
      </c>
      <c r="Y40" s="467"/>
      <c r="Z40" s="929">
        <f t="shared" si="30"/>
        <v>57511.3540266665</v>
      </c>
      <c r="AA40" s="806">
        <v>42537.3319466667</v>
      </c>
      <c r="AB40" s="806">
        <f t="shared" si="31"/>
        <v>14974.0220799998</v>
      </c>
      <c r="AC40" s="479"/>
      <c r="AD40" s="479"/>
      <c r="AE40" s="479"/>
    </row>
    <row r="41" ht="15.5" spans="1:31">
      <c r="A41" s="464"/>
      <c r="B41" s="643" t="s">
        <v>129</v>
      </c>
      <c r="C41" s="467">
        <v>450135.833333334</v>
      </c>
      <c r="D41" s="466">
        <v>12</v>
      </c>
      <c r="E41" s="467">
        <f t="shared" si="16"/>
        <v>5401630.00000001</v>
      </c>
      <c r="F41" s="467"/>
      <c r="G41" s="467">
        <v>374530.4</v>
      </c>
      <c r="H41" s="467"/>
      <c r="I41" s="467">
        <f t="shared" si="17"/>
        <v>5027099.60000001</v>
      </c>
      <c r="J41" s="467">
        <v>200000</v>
      </c>
      <c r="K41" s="467">
        <v>0.2</v>
      </c>
      <c r="L41" s="467">
        <f t="shared" si="18"/>
        <v>1005419.92</v>
      </c>
      <c r="M41" s="467">
        <f t="shared" si="19"/>
        <v>1205419.92</v>
      </c>
      <c r="N41" s="467">
        <f t="shared" si="20"/>
        <v>1579950.32</v>
      </c>
      <c r="O41" s="467">
        <f t="shared" si="21"/>
        <v>3821679.68000001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95000</v>
      </c>
      <c r="T41" s="467">
        <f t="shared" si="26"/>
        <v>336000</v>
      </c>
      <c r="U41" s="467">
        <f t="shared" si="27"/>
        <v>149203.123200002</v>
      </c>
      <c r="V41" s="467">
        <f t="shared" si="28"/>
        <v>709203.123200002</v>
      </c>
      <c r="W41" s="474">
        <v>12</v>
      </c>
      <c r="X41" s="467">
        <f t="shared" si="29"/>
        <v>59100.2602666668</v>
      </c>
      <c r="Y41" s="467"/>
      <c r="Z41" s="929">
        <f t="shared" si="30"/>
        <v>59100.2602666668</v>
      </c>
      <c r="AA41" s="806">
        <v>43763.9072266667</v>
      </c>
      <c r="AB41" s="806">
        <f t="shared" si="31"/>
        <v>15336.3530400001</v>
      </c>
      <c r="AC41" s="479"/>
      <c r="AD41" s="479"/>
      <c r="AE41" s="479"/>
    </row>
    <row r="42" ht="15.5" spans="1:31">
      <c r="A42" s="464"/>
      <c r="B42" s="643" t="s">
        <v>133</v>
      </c>
      <c r="C42" s="467">
        <v>398711.666666667</v>
      </c>
      <c r="D42" s="466">
        <v>12</v>
      </c>
      <c r="E42" s="467">
        <f t="shared" si="16"/>
        <v>4784540</v>
      </c>
      <c r="F42" s="467"/>
      <c r="G42" s="468">
        <v>325163.200000001</v>
      </c>
      <c r="H42" s="467"/>
      <c r="I42" s="467">
        <f t="shared" si="17"/>
        <v>4459376.8</v>
      </c>
      <c r="J42" s="467">
        <v>200000</v>
      </c>
      <c r="K42" s="467">
        <v>0.2</v>
      </c>
      <c r="L42" s="467">
        <f t="shared" si="18"/>
        <v>891875.360000001</v>
      </c>
      <c r="M42" s="467">
        <f t="shared" si="19"/>
        <v>1091875.36</v>
      </c>
      <c r="N42" s="467">
        <f t="shared" si="20"/>
        <v>1417038.56</v>
      </c>
      <c r="O42" s="467">
        <f t="shared" si="21"/>
        <v>3367501.44</v>
      </c>
      <c r="P42" s="467">
        <f t="shared" si="22"/>
        <v>21000</v>
      </c>
      <c r="Q42" s="467">
        <f t="shared" si="23"/>
        <v>33000</v>
      </c>
      <c r="R42" s="467">
        <f t="shared" si="24"/>
        <v>75000</v>
      </c>
      <c r="S42" s="467">
        <f t="shared" si="25"/>
        <v>95000</v>
      </c>
      <c r="T42" s="467">
        <f t="shared" si="26"/>
        <v>336000</v>
      </c>
      <c r="U42" s="467">
        <f t="shared" si="27"/>
        <v>40200.3456000005</v>
      </c>
      <c r="V42" s="467">
        <f t="shared" si="28"/>
        <v>600200.345600001</v>
      </c>
      <c r="W42" s="474">
        <v>12</v>
      </c>
      <c r="X42" s="467">
        <f t="shared" si="29"/>
        <v>50016.6954666667</v>
      </c>
      <c r="Y42" s="467"/>
      <c r="Z42" s="929">
        <f t="shared" si="30"/>
        <v>50016.6954666667</v>
      </c>
      <c r="AA42" s="806">
        <v>36790.6881066667</v>
      </c>
      <c r="AB42" s="806">
        <f t="shared" si="31"/>
        <v>13226.00736</v>
      </c>
      <c r="AC42" s="479"/>
      <c r="AD42" s="479"/>
      <c r="AE42" s="479"/>
    </row>
    <row r="43" ht="15.5" spans="1:31">
      <c r="A43" s="464"/>
      <c r="B43" s="643"/>
      <c r="C43" s="469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929"/>
      <c r="AA43" s="806"/>
      <c r="AB43" s="806"/>
      <c r="AC43" s="479"/>
      <c r="AD43" s="479"/>
      <c r="AE43" s="479"/>
    </row>
    <row r="44" ht="15" spans="1:31">
      <c r="A44" s="464"/>
      <c r="B44" s="869" t="s">
        <v>137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929"/>
      <c r="AA44" s="806"/>
      <c r="AB44" s="806"/>
      <c r="AC44" s="479"/>
      <c r="AD44" s="479"/>
      <c r="AE44" s="479"/>
    </row>
    <row r="45" ht="15.5" spans="1:31">
      <c r="A45" s="464">
        <v>35</v>
      </c>
      <c r="B45" s="643" t="s">
        <v>138</v>
      </c>
      <c r="C45" s="465">
        <v>1185306.75</v>
      </c>
      <c r="D45" s="466">
        <v>12</v>
      </c>
      <c r="E45" s="467">
        <f t="shared" ref="E45:E52" si="32">C45*D45</f>
        <v>14223681</v>
      </c>
      <c r="F45" s="467"/>
      <c r="G45" s="468">
        <v>869094.48</v>
      </c>
      <c r="H45" s="467"/>
      <c r="I45" s="467">
        <f t="shared" ref="I45:I52" si="33">E45-F45-G45-H45</f>
        <v>13354586.52</v>
      </c>
      <c r="J45" s="467">
        <v>200000</v>
      </c>
      <c r="K45" s="467">
        <v>0.2</v>
      </c>
      <c r="L45" s="467">
        <f t="shared" ref="L45:L52" si="34">I45*K45</f>
        <v>2670917.304</v>
      </c>
      <c r="M45" s="467">
        <f t="shared" ref="M45:M52" si="35">J45+L45</f>
        <v>2870917.304</v>
      </c>
      <c r="N45" s="467">
        <f t="shared" ref="N45:N52" si="36">F45+G45+H45+M45</f>
        <v>3740011.784</v>
      </c>
      <c r="O45" s="467">
        <f t="shared" ref="O45:O52" si="37">E45-N45</f>
        <v>10483669.216</v>
      </c>
      <c r="P45" s="467">
        <f t="shared" ref="P45:P52" si="38">IF(O45&lt;300000,0.07*O45,21000)</f>
        <v>21000</v>
      </c>
      <c r="Q45" s="467">
        <f t="shared" ref="Q45:Q52" si="39">IF((O45-300000)&lt;0,0,IF((O45-300000)&lt;300000,0.11*(O45-300000),33000))</f>
        <v>33000</v>
      </c>
      <c r="R45" s="467">
        <f t="shared" ref="R45:R52" si="40">IF((O45-600000)&lt;0,0,IF((O45-600000)&lt;500000,0.15*(O45-600000),75000))</f>
        <v>75000</v>
      </c>
      <c r="S45" s="467">
        <f t="shared" ref="S45:S52" si="41">IF((O45-1100000)&lt;0,0,IF((O45-1100000)&lt;500000,0.19*(O45-1100000),95000))</f>
        <v>95000</v>
      </c>
      <c r="T45" s="467">
        <f t="shared" ref="T45:T52" si="42">IF((O45-1600000)&lt;0,0,IF((O45-1600000)&lt;1600000,0.21*(O45-1600000),336000))</f>
        <v>336000</v>
      </c>
      <c r="U45" s="467">
        <f>0.24*(O45-3200000)</f>
        <v>1748080.61184</v>
      </c>
      <c r="V45" s="467">
        <f t="shared" ref="V45:V52" si="43">P45+Q45+R45+S45+T45+U45</f>
        <v>2308080.61184</v>
      </c>
      <c r="W45" s="474">
        <v>12</v>
      </c>
      <c r="X45" s="467">
        <f t="shared" ref="X45:X52" si="44">V45/W45</f>
        <v>192340.050986667</v>
      </c>
      <c r="Y45" s="467"/>
      <c r="Z45" s="929">
        <f t="shared" ref="Z45:Z52" si="45">X45</f>
        <v>192340.050986667</v>
      </c>
      <c r="AA45" s="806">
        <v>162999.59</v>
      </c>
      <c r="AB45" s="806">
        <f t="shared" ref="AB45:AB52" si="46">Z45-AA45</f>
        <v>29340.4609866667</v>
      </c>
      <c r="AC45" s="479"/>
      <c r="AD45" s="479"/>
      <c r="AE45" s="479"/>
    </row>
    <row r="46" ht="15.5" spans="1:31">
      <c r="A46" s="464">
        <v>36</v>
      </c>
      <c r="B46" s="643" t="s">
        <v>141</v>
      </c>
      <c r="C46" s="467">
        <v>904477</v>
      </c>
      <c r="D46" s="466">
        <v>12</v>
      </c>
      <c r="E46" s="467">
        <f t="shared" si="32"/>
        <v>10853724</v>
      </c>
      <c r="F46" s="470"/>
      <c r="G46" s="468">
        <v>714697.92</v>
      </c>
      <c r="H46" s="470"/>
      <c r="I46" s="467">
        <f t="shared" si="33"/>
        <v>10139026.08</v>
      </c>
      <c r="J46" s="467">
        <v>200000</v>
      </c>
      <c r="K46" s="467">
        <v>0.2</v>
      </c>
      <c r="L46" s="467">
        <f t="shared" si="34"/>
        <v>2027805.216</v>
      </c>
      <c r="M46" s="467">
        <f t="shared" si="35"/>
        <v>2227805.216</v>
      </c>
      <c r="N46" s="467">
        <f t="shared" si="36"/>
        <v>2942503.136</v>
      </c>
      <c r="O46" s="467">
        <f t="shared" si="37"/>
        <v>7911220.864</v>
      </c>
      <c r="P46" s="467">
        <f t="shared" si="38"/>
        <v>21000</v>
      </c>
      <c r="Q46" s="467">
        <f t="shared" si="39"/>
        <v>33000</v>
      </c>
      <c r="R46" s="467">
        <f t="shared" si="40"/>
        <v>75000</v>
      </c>
      <c r="S46" s="467">
        <f t="shared" si="41"/>
        <v>95000</v>
      </c>
      <c r="T46" s="467">
        <f t="shared" si="42"/>
        <v>336000</v>
      </c>
      <c r="U46" s="467">
        <f t="shared" ref="U46:U52" si="47">24%*(O46-3200000)</f>
        <v>1130693.00736</v>
      </c>
      <c r="V46" s="467">
        <f t="shared" si="43"/>
        <v>1690693.00736</v>
      </c>
      <c r="W46" s="474">
        <v>12</v>
      </c>
      <c r="X46" s="467">
        <f t="shared" si="44"/>
        <v>140891.083946667</v>
      </c>
      <c r="Y46" s="470"/>
      <c r="Z46" s="929">
        <f t="shared" si="45"/>
        <v>140891.083946667</v>
      </c>
      <c r="AA46" s="806">
        <v>119022.801706667</v>
      </c>
      <c r="AB46" s="806">
        <f t="shared" si="46"/>
        <v>21868.2822399997</v>
      </c>
      <c r="AC46" s="479"/>
      <c r="AD46" s="479"/>
      <c r="AE46" s="479"/>
    </row>
    <row r="47" ht="15.5" spans="1:31">
      <c r="A47" s="464">
        <v>37</v>
      </c>
      <c r="B47" s="643" t="s">
        <v>143</v>
      </c>
      <c r="C47" s="467">
        <v>904477</v>
      </c>
      <c r="D47" s="466">
        <v>12</v>
      </c>
      <c r="E47" s="467">
        <f t="shared" si="32"/>
        <v>10853724</v>
      </c>
      <c r="F47" s="470">
        <v>137703.15</v>
      </c>
      <c r="G47" s="468">
        <v>714697.92</v>
      </c>
      <c r="H47" s="470"/>
      <c r="I47" s="467">
        <f t="shared" si="33"/>
        <v>10001322.93</v>
      </c>
      <c r="J47" s="467">
        <v>200000</v>
      </c>
      <c r="K47" s="467">
        <v>0.2</v>
      </c>
      <c r="L47" s="467">
        <f t="shared" si="34"/>
        <v>2000264.586</v>
      </c>
      <c r="M47" s="467">
        <f t="shared" si="35"/>
        <v>2200264.586</v>
      </c>
      <c r="N47" s="467">
        <f t="shared" si="36"/>
        <v>3052665.656</v>
      </c>
      <c r="O47" s="467">
        <f t="shared" si="37"/>
        <v>7801058.344</v>
      </c>
      <c r="P47" s="467">
        <f t="shared" si="38"/>
        <v>21000</v>
      </c>
      <c r="Q47" s="467">
        <f t="shared" si="39"/>
        <v>33000</v>
      </c>
      <c r="R47" s="467">
        <f t="shared" si="40"/>
        <v>75000</v>
      </c>
      <c r="S47" s="467">
        <f t="shared" si="41"/>
        <v>95000</v>
      </c>
      <c r="T47" s="467">
        <f t="shared" si="42"/>
        <v>336000</v>
      </c>
      <c r="U47" s="467">
        <f t="shared" si="47"/>
        <v>1104254.00256</v>
      </c>
      <c r="V47" s="467">
        <f t="shared" si="43"/>
        <v>1664254.00256</v>
      </c>
      <c r="W47" s="474">
        <v>12</v>
      </c>
      <c r="X47" s="467">
        <f t="shared" si="44"/>
        <v>138687.833546667</v>
      </c>
      <c r="Y47" s="470"/>
      <c r="Z47" s="929">
        <f t="shared" si="45"/>
        <v>138687.833546667</v>
      </c>
      <c r="AA47" s="806">
        <v>118861.965706667</v>
      </c>
      <c r="AB47" s="806">
        <f t="shared" si="46"/>
        <v>19825.8678399997</v>
      </c>
      <c r="AC47" s="479"/>
      <c r="AD47" s="479"/>
      <c r="AE47" s="479"/>
    </row>
    <row r="48" ht="15.5" spans="1:31">
      <c r="A48" s="464">
        <v>38</v>
      </c>
      <c r="B48" s="643" t="s">
        <v>144</v>
      </c>
      <c r="C48" s="467">
        <v>882595.5</v>
      </c>
      <c r="D48" s="466">
        <v>12</v>
      </c>
      <c r="E48" s="467">
        <f t="shared" si="32"/>
        <v>10591146</v>
      </c>
      <c r="F48" s="470"/>
      <c r="G48" s="468">
        <v>693691.68</v>
      </c>
      <c r="H48" s="470"/>
      <c r="I48" s="467">
        <f t="shared" si="33"/>
        <v>9897454.32</v>
      </c>
      <c r="J48" s="467">
        <v>200000</v>
      </c>
      <c r="K48" s="467">
        <v>0.2</v>
      </c>
      <c r="L48" s="467">
        <f t="shared" si="34"/>
        <v>1979490.864</v>
      </c>
      <c r="M48" s="467">
        <f t="shared" si="35"/>
        <v>2179490.864</v>
      </c>
      <c r="N48" s="467">
        <f t="shared" si="36"/>
        <v>2873182.544</v>
      </c>
      <c r="O48" s="467">
        <f t="shared" si="37"/>
        <v>7717963.456</v>
      </c>
      <c r="P48" s="467">
        <f t="shared" si="38"/>
        <v>21000</v>
      </c>
      <c r="Q48" s="467">
        <f t="shared" si="39"/>
        <v>33000</v>
      </c>
      <c r="R48" s="467">
        <f t="shared" si="40"/>
        <v>75000</v>
      </c>
      <c r="S48" s="467">
        <f t="shared" si="41"/>
        <v>95000</v>
      </c>
      <c r="T48" s="467">
        <f t="shared" si="42"/>
        <v>336000</v>
      </c>
      <c r="U48" s="467">
        <f t="shared" si="47"/>
        <v>1084311.22944</v>
      </c>
      <c r="V48" s="467">
        <f t="shared" si="43"/>
        <v>1644311.22944</v>
      </c>
      <c r="W48" s="474">
        <v>12</v>
      </c>
      <c r="X48" s="467">
        <f t="shared" si="44"/>
        <v>137025.935786667</v>
      </c>
      <c r="Y48" s="470"/>
      <c r="Z48" s="929">
        <f t="shared" si="45"/>
        <v>137025.935786667</v>
      </c>
      <c r="AA48" s="806">
        <v>112212.004906667</v>
      </c>
      <c r="AB48" s="806">
        <f t="shared" si="46"/>
        <v>24813.9308799997</v>
      </c>
      <c r="AC48" s="479"/>
      <c r="AD48" s="479"/>
      <c r="AE48" s="479"/>
    </row>
    <row r="49" ht="15.5" spans="1:31">
      <c r="A49" s="464">
        <v>39</v>
      </c>
      <c r="B49" s="643" t="s">
        <v>145</v>
      </c>
      <c r="C49" s="467">
        <v>860713.916666666</v>
      </c>
      <c r="D49" s="466">
        <v>12</v>
      </c>
      <c r="E49" s="467">
        <f t="shared" si="32"/>
        <v>10328567</v>
      </c>
      <c r="F49" s="467"/>
      <c r="G49" s="468">
        <v>672685.36</v>
      </c>
      <c r="H49" s="470"/>
      <c r="I49" s="467">
        <f t="shared" si="33"/>
        <v>9655881.63999999</v>
      </c>
      <c r="J49" s="467">
        <v>200000</v>
      </c>
      <c r="K49" s="467">
        <v>0.2</v>
      </c>
      <c r="L49" s="467">
        <f t="shared" si="34"/>
        <v>1931176.328</v>
      </c>
      <c r="M49" s="467">
        <f t="shared" si="35"/>
        <v>2131176.328</v>
      </c>
      <c r="N49" s="467">
        <f t="shared" si="36"/>
        <v>2803861.688</v>
      </c>
      <c r="O49" s="467">
        <f t="shared" si="37"/>
        <v>7524705.31199999</v>
      </c>
      <c r="P49" s="467">
        <f t="shared" si="38"/>
        <v>21000</v>
      </c>
      <c r="Q49" s="467">
        <f t="shared" si="39"/>
        <v>33000</v>
      </c>
      <c r="R49" s="467">
        <f t="shared" si="40"/>
        <v>75000</v>
      </c>
      <c r="S49" s="467">
        <f t="shared" si="41"/>
        <v>95000</v>
      </c>
      <c r="T49" s="467">
        <f t="shared" si="42"/>
        <v>336000</v>
      </c>
      <c r="U49" s="467">
        <f t="shared" si="47"/>
        <v>1037929.27488</v>
      </c>
      <c r="V49" s="467">
        <f t="shared" si="43"/>
        <v>1597929.27488</v>
      </c>
      <c r="W49" s="474">
        <v>12</v>
      </c>
      <c r="X49" s="467">
        <f t="shared" si="44"/>
        <v>133160.772906667</v>
      </c>
      <c r="Y49" s="470"/>
      <c r="Z49" s="929">
        <f t="shared" si="45"/>
        <v>133160.772906667</v>
      </c>
      <c r="AA49" s="806">
        <v>112211.988957867</v>
      </c>
      <c r="AB49" s="806">
        <f t="shared" si="46"/>
        <v>20948.7839487995</v>
      </c>
      <c r="AC49" s="479"/>
      <c r="AD49" s="479"/>
      <c r="AE49" s="479"/>
    </row>
    <row r="50" ht="15.5" spans="1:31">
      <c r="A50" s="464">
        <v>40</v>
      </c>
      <c r="B50" s="643" t="s">
        <v>149</v>
      </c>
      <c r="C50" s="467">
        <v>490135.833333334</v>
      </c>
      <c r="D50" s="466">
        <v>12</v>
      </c>
      <c r="E50" s="467">
        <f t="shared" si="32"/>
        <v>5881630.00000001</v>
      </c>
      <c r="F50" s="467"/>
      <c r="G50" s="468">
        <v>374530.4</v>
      </c>
      <c r="H50" s="470"/>
      <c r="I50" s="467">
        <f t="shared" si="33"/>
        <v>5507099.60000001</v>
      </c>
      <c r="J50" s="467">
        <v>200000</v>
      </c>
      <c r="K50" s="467">
        <v>0.2</v>
      </c>
      <c r="L50" s="467">
        <f t="shared" si="34"/>
        <v>1101419.92</v>
      </c>
      <c r="M50" s="467">
        <f t="shared" si="35"/>
        <v>1301419.92</v>
      </c>
      <c r="N50" s="467">
        <f t="shared" si="36"/>
        <v>1675950.32</v>
      </c>
      <c r="O50" s="467">
        <f t="shared" si="37"/>
        <v>4205679.68000001</v>
      </c>
      <c r="P50" s="467">
        <f t="shared" si="38"/>
        <v>21000</v>
      </c>
      <c r="Q50" s="467">
        <f t="shared" si="39"/>
        <v>33000</v>
      </c>
      <c r="R50" s="467">
        <f t="shared" si="40"/>
        <v>75000</v>
      </c>
      <c r="S50" s="467">
        <f t="shared" si="41"/>
        <v>95000</v>
      </c>
      <c r="T50" s="467">
        <f t="shared" si="42"/>
        <v>336000</v>
      </c>
      <c r="U50" s="467">
        <f t="shared" si="47"/>
        <v>241363.123200002</v>
      </c>
      <c r="V50" s="467">
        <f t="shared" si="43"/>
        <v>801363.123200002</v>
      </c>
      <c r="W50" s="474">
        <v>12</v>
      </c>
      <c r="X50" s="467">
        <f t="shared" si="44"/>
        <v>66780.2602666668</v>
      </c>
      <c r="Y50" s="470"/>
      <c r="Z50" s="929">
        <f t="shared" si="45"/>
        <v>66780.2602666668</v>
      </c>
      <c r="AA50" s="806">
        <v>51029.2273066667</v>
      </c>
      <c r="AB50" s="806">
        <f t="shared" si="46"/>
        <v>15751.0329600001</v>
      </c>
      <c r="AC50" s="479"/>
      <c r="AD50" s="479"/>
      <c r="AE50" s="479"/>
    </row>
    <row r="51" ht="15.5" spans="1:31">
      <c r="A51" s="464">
        <v>41</v>
      </c>
      <c r="B51" s="639" t="s">
        <v>153</v>
      </c>
      <c r="C51" s="467">
        <v>447016.166666666</v>
      </c>
      <c r="D51" s="466">
        <v>12</v>
      </c>
      <c r="E51" s="467">
        <f t="shared" si="32"/>
        <v>5364193.99999999</v>
      </c>
      <c r="F51" s="467"/>
      <c r="G51" s="468">
        <v>333135.52</v>
      </c>
      <c r="H51" s="470"/>
      <c r="I51" s="467">
        <f t="shared" si="33"/>
        <v>5031058.47999999</v>
      </c>
      <c r="J51" s="467">
        <v>200000</v>
      </c>
      <c r="K51" s="467">
        <v>0.2</v>
      </c>
      <c r="L51" s="467">
        <f t="shared" si="34"/>
        <v>1006211.696</v>
      </c>
      <c r="M51" s="467">
        <f t="shared" si="35"/>
        <v>1206211.696</v>
      </c>
      <c r="N51" s="467">
        <f t="shared" si="36"/>
        <v>1539347.216</v>
      </c>
      <c r="O51" s="467">
        <f t="shared" si="37"/>
        <v>3824846.78399999</v>
      </c>
      <c r="P51" s="467">
        <f t="shared" si="38"/>
        <v>21000</v>
      </c>
      <c r="Q51" s="467">
        <f t="shared" si="39"/>
        <v>33000</v>
      </c>
      <c r="R51" s="467">
        <f t="shared" si="40"/>
        <v>75000</v>
      </c>
      <c r="S51" s="467">
        <f t="shared" si="41"/>
        <v>95000</v>
      </c>
      <c r="T51" s="467">
        <f t="shared" si="42"/>
        <v>336000</v>
      </c>
      <c r="U51" s="467">
        <f t="shared" si="47"/>
        <v>149963.228159998</v>
      </c>
      <c r="V51" s="467">
        <f t="shared" si="43"/>
        <v>709963.228159998</v>
      </c>
      <c r="W51" s="474">
        <v>12</v>
      </c>
      <c r="X51" s="467">
        <f t="shared" si="44"/>
        <v>59163.6023466665</v>
      </c>
      <c r="Y51" s="470"/>
      <c r="Z51" s="929">
        <f t="shared" si="45"/>
        <v>59163.6023466665</v>
      </c>
      <c r="AA51" s="806">
        <v>44641.5005866667</v>
      </c>
      <c r="AB51" s="806">
        <f t="shared" si="46"/>
        <v>14522.1017599998</v>
      </c>
      <c r="AC51" s="479"/>
      <c r="AD51" s="479"/>
      <c r="AE51" s="479"/>
    </row>
    <row r="52" ht="15.5" spans="1:31">
      <c r="A52" s="464">
        <v>42</v>
      </c>
      <c r="B52" s="643" t="s">
        <v>154</v>
      </c>
      <c r="C52" s="467">
        <v>447016.166666666</v>
      </c>
      <c r="D52" s="466">
        <v>12</v>
      </c>
      <c r="E52" s="467">
        <f t="shared" si="32"/>
        <v>5364193.99999999</v>
      </c>
      <c r="F52" s="467"/>
      <c r="G52" s="468">
        <v>333135.52</v>
      </c>
      <c r="H52" s="470"/>
      <c r="I52" s="467">
        <f t="shared" si="33"/>
        <v>5031058.47999999</v>
      </c>
      <c r="J52" s="467">
        <v>200000</v>
      </c>
      <c r="K52" s="467">
        <v>0.2</v>
      </c>
      <c r="L52" s="467">
        <f t="shared" si="34"/>
        <v>1006211.696</v>
      </c>
      <c r="M52" s="467">
        <f t="shared" si="35"/>
        <v>1206211.696</v>
      </c>
      <c r="N52" s="467">
        <f t="shared" si="36"/>
        <v>1539347.216</v>
      </c>
      <c r="O52" s="467">
        <f t="shared" si="37"/>
        <v>3824846.78399999</v>
      </c>
      <c r="P52" s="467">
        <f t="shared" si="38"/>
        <v>21000</v>
      </c>
      <c r="Q52" s="467">
        <f t="shared" si="39"/>
        <v>33000</v>
      </c>
      <c r="R52" s="467">
        <f t="shared" si="40"/>
        <v>75000</v>
      </c>
      <c r="S52" s="467">
        <f t="shared" si="41"/>
        <v>95000</v>
      </c>
      <c r="T52" s="467">
        <f t="shared" si="42"/>
        <v>336000</v>
      </c>
      <c r="U52" s="467">
        <f t="shared" si="47"/>
        <v>149963.228159998</v>
      </c>
      <c r="V52" s="467">
        <f t="shared" si="43"/>
        <v>709963.228159998</v>
      </c>
      <c r="W52" s="474">
        <v>12</v>
      </c>
      <c r="X52" s="467">
        <f t="shared" si="44"/>
        <v>59163.6023466665</v>
      </c>
      <c r="Y52" s="470"/>
      <c r="Z52" s="929">
        <f t="shared" si="45"/>
        <v>59163.6023466665</v>
      </c>
      <c r="AA52" s="806">
        <v>44641.5005866667</v>
      </c>
      <c r="AB52" s="806">
        <f t="shared" si="46"/>
        <v>14522.1017599998</v>
      </c>
      <c r="AC52" s="479"/>
      <c r="AD52" s="479"/>
      <c r="AE52" s="479"/>
    </row>
    <row r="53" ht="15" spans="1:31">
      <c r="A53" s="464"/>
      <c r="B53" s="867"/>
      <c r="C53" s="472"/>
      <c r="D53" s="466"/>
      <c r="E53" s="467"/>
      <c r="F53" s="467"/>
      <c r="G53" s="470"/>
      <c r="H53" s="470"/>
      <c r="I53" s="467"/>
      <c r="J53" s="467"/>
      <c r="K53" s="467"/>
      <c r="L53" s="467"/>
      <c r="M53" s="467"/>
      <c r="N53" s="467"/>
      <c r="O53" s="467"/>
      <c r="P53" s="467"/>
      <c r="Q53" s="467"/>
      <c r="R53" s="467"/>
      <c r="S53" s="467"/>
      <c r="T53" s="467"/>
      <c r="U53" s="467"/>
      <c r="V53" s="467"/>
      <c r="W53" s="474"/>
      <c r="X53" s="467"/>
      <c r="Y53" s="470"/>
      <c r="Z53" s="929"/>
      <c r="AA53" s="806"/>
      <c r="AB53" s="806"/>
      <c r="AC53" s="479"/>
      <c r="AD53" s="479"/>
      <c r="AE53" s="479"/>
    </row>
    <row r="54" ht="15" spans="1:31">
      <c r="A54" s="464"/>
      <c r="B54" s="864" t="s">
        <v>156</v>
      </c>
      <c r="C54" s="467"/>
      <c r="D54" s="466"/>
      <c r="E54" s="467"/>
      <c r="F54" s="467"/>
      <c r="G54" s="470"/>
      <c r="H54" s="470"/>
      <c r="I54" s="467"/>
      <c r="J54" s="467"/>
      <c r="K54" s="467"/>
      <c r="L54" s="467"/>
      <c r="M54" s="467"/>
      <c r="N54" s="467"/>
      <c r="O54" s="467"/>
      <c r="P54" s="467"/>
      <c r="Q54" s="467"/>
      <c r="R54" s="467"/>
      <c r="S54" s="467"/>
      <c r="T54" s="467"/>
      <c r="U54" s="467"/>
      <c r="V54" s="467"/>
      <c r="W54" s="474"/>
      <c r="X54" s="467"/>
      <c r="Y54" s="470"/>
      <c r="Z54" s="929"/>
      <c r="AA54" s="806"/>
      <c r="AB54" s="806"/>
      <c r="AC54" s="479"/>
      <c r="AD54" s="479"/>
      <c r="AE54" s="479"/>
    </row>
    <row r="55" ht="15.5" spans="1:31">
      <c r="A55" s="464">
        <v>47</v>
      </c>
      <c r="B55" s="643" t="s">
        <v>157</v>
      </c>
      <c r="C55" s="467">
        <v>1947106.41666666</v>
      </c>
      <c r="D55" s="466">
        <v>12</v>
      </c>
      <c r="E55" s="467">
        <f t="shared" ref="E55:E65" si="48">C55*D55</f>
        <v>23365276.9999999</v>
      </c>
      <c r="F55" s="467"/>
      <c r="G55" s="468">
        <v>1677222.16</v>
      </c>
      <c r="H55" s="470"/>
      <c r="I55" s="467">
        <f t="shared" ref="I55:I65" si="49">E55-F55-G55-H55</f>
        <v>21688054.8399999</v>
      </c>
      <c r="J55" s="467">
        <v>200000</v>
      </c>
      <c r="K55" s="467">
        <v>0.2</v>
      </c>
      <c r="L55" s="467">
        <f t="shared" ref="L55:L65" si="50">I55*K55</f>
        <v>4337610.96799998</v>
      </c>
      <c r="M55" s="467">
        <f t="shared" ref="M55:M65" si="51">J55+L55</f>
        <v>4537610.96799998</v>
      </c>
      <c r="N55" s="467">
        <f t="shared" ref="N55:N65" si="52">F55+G55+H55+M55</f>
        <v>6214833.12799998</v>
      </c>
      <c r="O55" s="467">
        <f t="shared" ref="O55:O65" si="53">E55-N55</f>
        <v>17150443.8719999</v>
      </c>
      <c r="P55" s="467">
        <f t="shared" ref="P55:P65" si="54">IF(O55&lt;300000,0.07*O55,21000)</f>
        <v>21000</v>
      </c>
      <c r="Q55" s="467">
        <f t="shared" ref="Q55:Q65" si="55">IF((O55-300000)&lt;0,0,IF((O55-300000)&lt;300000,0.11*(O55-300000),33000))</f>
        <v>33000</v>
      </c>
      <c r="R55" s="467">
        <f t="shared" ref="R55:R65" si="56">IF((O55-600000)&lt;0,0,IF((O55-600000)&lt;500000,0.15*(O55-600000),75000))</f>
        <v>75000</v>
      </c>
      <c r="S55" s="467">
        <f t="shared" ref="S55:S65" si="57">IF((O55-1100000)&lt;0,0,IF((O55-1100000)&lt;500000,0.19*(O55-1100000),95000))</f>
        <v>95000</v>
      </c>
      <c r="T55" s="467">
        <f t="shared" ref="T55:T65" si="58">IF((O55-1600000)&lt;0,0,IF((O55-1600000)&lt;1600000,0.21*(O55-1600000),336000))</f>
        <v>336000</v>
      </c>
      <c r="U55" s="467">
        <f t="shared" ref="U55:U65" si="59">24%*(O55-3200000)</f>
        <v>3348106.52927998</v>
      </c>
      <c r="V55" s="467">
        <f t="shared" ref="V55:V65" si="60">P55+Q55+R55+S55+T55+U55</f>
        <v>3908106.52927998</v>
      </c>
      <c r="W55" s="474">
        <v>12</v>
      </c>
      <c r="X55" s="467">
        <f t="shared" ref="X55:X65" si="61">V55/W55</f>
        <v>325675.544106665</v>
      </c>
      <c r="Y55" s="470"/>
      <c r="Z55" s="929">
        <f t="shared" ref="Z55:Z65" si="62">X55</f>
        <v>325675.544106665</v>
      </c>
      <c r="AA55" s="806">
        <v>270672.247466667</v>
      </c>
      <c r="AB55" s="806">
        <f t="shared" ref="AB55:AB65" si="63">Z55-AA55</f>
        <v>55003.2966399984</v>
      </c>
      <c r="AC55" s="479"/>
      <c r="AD55" s="479"/>
      <c r="AE55" s="479"/>
    </row>
    <row r="56" ht="15.5" spans="1:31">
      <c r="A56" s="464">
        <v>48</v>
      </c>
      <c r="B56" s="643" t="s">
        <v>159</v>
      </c>
      <c r="C56" s="467">
        <v>824477</v>
      </c>
      <c r="D56" s="466">
        <v>12</v>
      </c>
      <c r="E56" s="467">
        <f t="shared" si="48"/>
        <v>9893724</v>
      </c>
      <c r="F56" s="467"/>
      <c r="G56" s="467">
        <v>714697.92</v>
      </c>
      <c r="H56" s="470"/>
      <c r="I56" s="467">
        <f t="shared" si="49"/>
        <v>9179026.08</v>
      </c>
      <c r="J56" s="467">
        <v>200000</v>
      </c>
      <c r="K56" s="467">
        <v>0.2</v>
      </c>
      <c r="L56" s="467">
        <f t="shared" si="50"/>
        <v>1835805.216</v>
      </c>
      <c r="M56" s="467">
        <f t="shared" si="51"/>
        <v>2035805.216</v>
      </c>
      <c r="N56" s="467">
        <f t="shared" si="52"/>
        <v>2750503.136</v>
      </c>
      <c r="O56" s="467">
        <f t="shared" si="53"/>
        <v>7143220.864</v>
      </c>
      <c r="P56" s="467">
        <f t="shared" si="54"/>
        <v>21000</v>
      </c>
      <c r="Q56" s="467">
        <f t="shared" si="55"/>
        <v>33000</v>
      </c>
      <c r="R56" s="467">
        <f t="shared" si="56"/>
        <v>75000</v>
      </c>
      <c r="S56" s="467">
        <f t="shared" si="57"/>
        <v>95000</v>
      </c>
      <c r="T56" s="467">
        <f t="shared" si="58"/>
        <v>336000</v>
      </c>
      <c r="U56" s="467">
        <f t="shared" si="59"/>
        <v>946373.00736</v>
      </c>
      <c r="V56" s="467">
        <f t="shared" si="60"/>
        <v>1506373.00736</v>
      </c>
      <c r="W56" s="474">
        <v>12</v>
      </c>
      <c r="X56" s="467">
        <f t="shared" si="61"/>
        <v>125531.083946667</v>
      </c>
      <c r="Y56" s="470"/>
      <c r="Z56" s="929">
        <f t="shared" si="62"/>
        <v>125531.083946667</v>
      </c>
      <c r="AA56" s="806">
        <v>103662.801706667</v>
      </c>
      <c r="AB56" s="806">
        <f t="shared" si="63"/>
        <v>21868.2822399997</v>
      </c>
      <c r="AC56" s="479"/>
      <c r="AD56" s="479"/>
      <c r="AE56" s="479"/>
    </row>
    <row r="57" ht="15" spans="1:31">
      <c r="A57" s="464"/>
      <c r="B57" s="864"/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929"/>
      <c r="AA57" s="806"/>
      <c r="AB57" s="806"/>
      <c r="AC57" s="479"/>
      <c r="AD57" s="479"/>
      <c r="AE57" s="479"/>
    </row>
    <row r="58" ht="15" spans="1:31">
      <c r="A58" s="464">
        <v>49</v>
      </c>
      <c r="B58" s="864" t="s">
        <v>162</v>
      </c>
      <c r="C58" s="467"/>
      <c r="D58" s="466"/>
      <c r="E58" s="467"/>
      <c r="F58" s="467"/>
      <c r="G58" s="470"/>
      <c r="H58" s="470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70"/>
      <c r="Z58" s="929"/>
      <c r="AA58" s="806"/>
      <c r="AB58" s="806"/>
      <c r="AC58" s="479"/>
      <c r="AD58" s="479"/>
      <c r="AE58" s="479"/>
    </row>
    <row r="59" ht="15.5" spans="1:31">
      <c r="A59" s="464">
        <v>50</v>
      </c>
      <c r="B59" s="643" t="s">
        <v>163</v>
      </c>
      <c r="C59" s="467">
        <v>1085306.75</v>
      </c>
      <c r="D59" s="466">
        <v>12</v>
      </c>
      <c r="E59" s="467">
        <f t="shared" si="48"/>
        <v>13023681</v>
      </c>
      <c r="F59" s="467">
        <v>166400.85</v>
      </c>
      <c r="G59" s="468">
        <v>869094.48</v>
      </c>
      <c r="H59" s="470"/>
      <c r="I59" s="467">
        <f t="shared" si="49"/>
        <v>11988185.67</v>
      </c>
      <c r="J59" s="467">
        <v>200000</v>
      </c>
      <c r="K59" s="467">
        <v>0.2</v>
      </c>
      <c r="L59" s="467">
        <f t="shared" si="50"/>
        <v>2397637.134</v>
      </c>
      <c r="M59" s="467">
        <f t="shared" si="51"/>
        <v>2597637.134</v>
      </c>
      <c r="N59" s="467">
        <f t="shared" si="52"/>
        <v>3633132.464</v>
      </c>
      <c r="O59" s="467">
        <f t="shared" si="53"/>
        <v>9390548.536</v>
      </c>
      <c r="P59" s="467">
        <f t="shared" si="54"/>
        <v>21000</v>
      </c>
      <c r="Q59" s="467">
        <f t="shared" si="55"/>
        <v>33000</v>
      </c>
      <c r="R59" s="467">
        <f t="shared" si="56"/>
        <v>75000</v>
      </c>
      <c r="S59" s="467">
        <f t="shared" si="57"/>
        <v>95000</v>
      </c>
      <c r="T59" s="467">
        <f t="shared" si="58"/>
        <v>336000</v>
      </c>
      <c r="U59" s="467">
        <f t="shared" si="59"/>
        <v>1485731.64864</v>
      </c>
      <c r="V59" s="467">
        <f t="shared" si="60"/>
        <v>2045731.64864</v>
      </c>
      <c r="W59" s="474">
        <v>12</v>
      </c>
      <c r="X59" s="467">
        <f t="shared" si="61"/>
        <v>170477.637386667</v>
      </c>
      <c r="Y59" s="470"/>
      <c r="Z59" s="929">
        <f t="shared" si="62"/>
        <v>170477.637386667</v>
      </c>
      <c r="AA59" s="806">
        <v>147687.527610667</v>
      </c>
      <c r="AB59" s="806">
        <f t="shared" si="63"/>
        <v>22790.1097759997</v>
      </c>
      <c r="AC59" s="479"/>
      <c r="AD59" s="479"/>
      <c r="AE59" s="479"/>
    </row>
    <row r="60" ht="23.25" customHeight="1" spans="1:31">
      <c r="A60" s="464">
        <v>51</v>
      </c>
      <c r="B60" s="351" t="s">
        <v>165</v>
      </c>
      <c r="C60" s="467">
        <v>698165.25</v>
      </c>
      <c r="D60" s="466">
        <v>12</v>
      </c>
      <c r="E60" s="467">
        <f t="shared" si="48"/>
        <v>8377983</v>
      </c>
      <c r="F60" s="467"/>
      <c r="G60" s="473">
        <v>535838.64</v>
      </c>
      <c r="H60" s="470"/>
      <c r="I60" s="467">
        <f t="shared" si="49"/>
        <v>7842144.36</v>
      </c>
      <c r="J60" s="467">
        <v>200000</v>
      </c>
      <c r="K60" s="467">
        <v>0.2</v>
      </c>
      <c r="L60" s="467">
        <f t="shared" si="50"/>
        <v>1568428.872</v>
      </c>
      <c r="M60" s="467">
        <f t="shared" si="51"/>
        <v>1768428.872</v>
      </c>
      <c r="N60" s="467">
        <f t="shared" si="52"/>
        <v>2304267.512</v>
      </c>
      <c r="O60" s="467">
        <f t="shared" si="53"/>
        <v>6073715.488</v>
      </c>
      <c r="P60" s="467">
        <f t="shared" si="54"/>
        <v>21000</v>
      </c>
      <c r="Q60" s="467">
        <f t="shared" si="55"/>
        <v>33000</v>
      </c>
      <c r="R60" s="467">
        <f t="shared" si="56"/>
        <v>75000</v>
      </c>
      <c r="S60" s="467">
        <f t="shared" si="57"/>
        <v>95000</v>
      </c>
      <c r="T60" s="467">
        <f t="shared" si="58"/>
        <v>336000</v>
      </c>
      <c r="U60" s="467">
        <f t="shared" si="59"/>
        <v>689691.71712</v>
      </c>
      <c r="V60" s="467">
        <f t="shared" si="60"/>
        <v>1249691.71712</v>
      </c>
      <c r="W60" s="474">
        <v>12</v>
      </c>
      <c r="X60" s="467">
        <f t="shared" si="61"/>
        <v>104140.976426667</v>
      </c>
      <c r="Y60" s="470"/>
      <c r="Z60" s="929">
        <f t="shared" si="62"/>
        <v>104140.976426667</v>
      </c>
      <c r="AA60" s="806">
        <v>83753.4084266666</v>
      </c>
      <c r="AB60" s="806">
        <f t="shared" si="63"/>
        <v>20387.5680000001</v>
      </c>
      <c r="AC60" s="479"/>
      <c r="AD60" s="479"/>
      <c r="AE60" s="479"/>
    </row>
    <row r="61" ht="15.5" spans="1:31">
      <c r="A61" s="464">
        <v>52</v>
      </c>
      <c r="B61" s="643" t="s">
        <v>169</v>
      </c>
      <c r="C61" s="467">
        <v>578828.166666667</v>
      </c>
      <c r="D61" s="466">
        <v>12</v>
      </c>
      <c r="E61" s="467">
        <f t="shared" si="48"/>
        <v>6945938</v>
      </c>
      <c r="F61" s="467"/>
      <c r="G61" s="468">
        <v>450075.040000001</v>
      </c>
      <c r="H61" s="470"/>
      <c r="I61" s="467">
        <f t="shared" si="49"/>
        <v>6495862.96</v>
      </c>
      <c r="J61" s="467">
        <v>200000</v>
      </c>
      <c r="K61" s="467">
        <v>0.2</v>
      </c>
      <c r="L61" s="467">
        <f t="shared" si="50"/>
        <v>1299172.592</v>
      </c>
      <c r="M61" s="467">
        <f t="shared" si="51"/>
        <v>1499172.592</v>
      </c>
      <c r="N61" s="467">
        <f t="shared" si="52"/>
        <v>1949247.632</v>
      </c>
      <c r="O61" s="467">
        <f t="shared" si="53"/>
        <v>4996690.368</v>
      </c>
      <c r="P61" s="467">
        <f t="shared" si="54"/>
        <v>21000</v>
      </c>
      <c r="Q61" s="467">
        <f t="shared" si="55"/>
        <v>33000</v>
      </c>
      <c r="R61" s="467">
        <f t="shared" si="56"/>
        <v>75000</v>
      </c>
      <c r="S61" s="467">
        <f t="shared" si="57"/>
        <v>95000</v>
      </c>
      <c r="T61" s="467">
        <f t="shared" si="58"/>
        <v>336000</v>
      </c>
      <c r="U61" s="467">
        <f t="shared" si="59"/>
        <v>431205.688320001</v>
      </c>
      <c r="V61" s="467">
        <f t="shared" si="60"/>
        <v>991205.688320001</v>
      </c>
      <c r="W61" s="474">
        <v>12</v>
      </c>
      <c r="X61" s="467">
        <f t="shared" si="61"/>
        <v>82600.4740266667</v>
      </c>
      <c r="Y61" s="470"/>
      <c r="Z61" s="929">
        <f t="shared" si="62"/>
        <v>82600.4740266667</v>
      </c>
      <c r="AA61" s="806">
        <v>64384.5917866667</v>
      </c>
      <c r="AB61" s="806">
        <f t="shared" si="63"/>
        <v>18215.88224</v>
      </c>
      <c r="AC61" s="479"/>
      <c r="AD61" s="479"/>
      <c r="AE61" s="479"/>
    </row>
    <row r="62" ht="15.5" spans="1:31">
      <c r="A62" s="464">
        <v>53</v>
      </c>
      <c r="B62" s="351" t="s">
        <v>171</v>
      </c>
      <c r="C62" s="467">
        <v>578828.166666667</v>
      </c>
      <c r="D62" s="466">
        <v>12</v>
      </c>
      <c r="E62" s="467">
        <f t="shared" si="48"/>
        <v>6945938</v>
      </c>
      <c r="F62" s="467"/>
      <c r="G62" s="468">
        <v>450075.040000001</v>
      </c>
      <c r="H62" s="470"/>
      <c r="I62" s="467">
        <f t="shared" si="49"/>
        <v>6495862.96</v>
      </c>
      <c r="J62" s="467">
        <v>200000</v>
      </c>
      <c r="K62" s="467">
        <v>0.2</v>
      </c>
      <c r="L62" s="467">
        <f t="shared" si="50"/>
        <v>1299172.592</v>
      </c>
      <c r="M62" s="467">
        <f t="shared" si="51"/>
        <v>1499172.592</v>
      </c>
      <c r="N62" s="467">
        <f t="shared" si="52"/>
        <v>1949247.632</v>
      </c>
      <c r="O62" s="467">
        <f t="shared" si="53"/>
        <v>4996690.368</v>
      </c>
      <c r="P62" s="467">
        <f t="shared" si="54"/>
        <v>21000</v>
      </c>
      <c r="Q62" s="467">
        <f t="shared" si="55"/>
        <v>33000</v>
      </c>
      <c r="R62" s="467">
        <f t="shared" si="56"/>
        <v>75000</v>
      </c>
      <c r="S62" s="467">
        <f t="shared" si="57"/>
        <v>95000</v>
      </c>
      <c r="T62" s="467">
        <f t="shared" si="58"/>
        <v>336000</v>
      </c>
      <c r="U62" s="467">
        <f t="shared" si="59"/>
        <v>431205.688320001</v>
      </c>
      <c r="V62" s="467">
        <f t="shared" si="60"/>
        <v>991205.688320001</v>
      </c>
      <c r="W62" s="474">
        <v>12</v>
      </c>
      <c r="X62" s="467">
        <f t="shared" si="61"/>
        <v>82600.4740266667</v>
      </c>
      <c r="Y62" s="470"/>
      <c r="Z62" s="929">
        <f t="shared" si="62"/>
        <v>82600.4740266667</v>
      </c>
      <c r="AA62" s="806">
        <v>64384.5917866667</v>
      </c>
      <c r="AB62" s="806">
        <f t="shared" si="63"/>
        <v>18215.88224</v>
      </c>
      <c r="AC62" s="479"/>
      <c r="AD62" s="479"/>
      <c r="AE62" s="479"/>
    </row>
    <row r="63" ht="15.5" spans="1:31">
      <c r="A63" s="464">
        <v>54</v>
      </c>
      <c r="B63" s="639" t="s">
        <v>172</v>
      </c>
      <c r="C63" s="467">
        <v>578828.166666667</v>
      </c>
      <c r="D63" s="466">
        <v>12</v>
      </c>
      <c r="E63" s="467">
        <f t="shared" si="48"/>
        <v>6945938</v>
      </c>
      <c r="F63" s="467"/>
      <c r="G63" s="468">
        <v>450075.040000001</v>
      </c>
      <c r="H63" s="470"/>
      <c r="I63" s="467">
        <f t="shared" si="49"/>
        <v>6495862.96</v>
      </c>
      <c r="J63" s="467">
        <v>200000</v>
      </c>
      <c r="K63" s="467">
        <v>0.2</v>
      </c>
      <c r="L63" s="467">
        <f t="shared" si="50"/>
        <v>1299172.592</v>
      </c>
      <c r="M63" s="467">
        <f t="shared" si="51"/>
        <v>1499172.592</v>
      </c>
      <c r="N63" s="467">
        <f t="shared" si="52"/>
        <v>1949247.632</v>
      </c>
      <c r="O63" s="467">
        <f t="shared" si="53"/>
        <v>4996690.368</v>
      </c>
      <c r="P63" s="467">
        <f t="shared" si="54"/>
        <v>21000</v>
      </c>
      <c r="Q63" s="467">
        <f t="shared" si="55"/>
        <v>33000</v>
      </c>
      <c r="R63" s="467">
        <f t="shared" si="56"/>
        <v>75000</v>
      </c>
      <c r="S63" s="467">
        <f t="shared" si="57"/>
        <v>95000</v>
      </c>
      <c r="T63" s="467">
        <f t="shared" si="58"/>
        <v>336000</v>
      </c>
      <c r="U63" s="467">
        <f t="shared" si="59"/>
        <v>431205.688320001</v>
      </c>
      <c r="V63" s="467">
        <f t="shared" si="60"/>
        <v>991205.688320001</v>
      </c>
      <c r="W63" s="474">
        <v>12</v>
      </c>
      <c r="X63" s="467">
        <f t="shared" si="61"/>
        <v>82600.4740266667</v>
      </c>
      <c r="Y63" s="470"/>
      <c r="Z63" s="929">
        <f t="shared" si="62"/>
        <v>82600.4740266667</v>
      </c>
      <c r="AA63" s="806">
        <v>64384.5917866667</v>
      </c>
      <c r="AB63" s="806">
        <f t="shared" si="63"/>
        <v>18215.88224</v>
      </c>
      <c r="AC63" s="479"/>
      <c r="AD63" s="479"/>
      <c r="AE63" s="479"/>
    </row>
    <row r="64" ht="15.5" spans="1:31">
      <c r="A64" s="464">
        <v>55</v>
      </c>
      <c r="B64" s="643" t="s">
        <v>173</v>
      </c>
      <c r="C64" s="467">
        <v>592662.666666667</v>
      </c>
      <c r="D64" s="466">
        <v>12</v>
      </c>
      <c r="E64" s="467">
        <f t="shared" si="48"/>
        <v>7111952</v>
      </c>
      <c r="F64" s="467"/>
      <c r="G64" s="468">
        <v>463356.160000001</v>
      </c>
      <c r="H64" s="470"/>
      <c r="I64" s="467">
        <f t="shared" si="49"/>
        <v>6648595.84</v>
      </c>
      <c r="J64" s="467">
        <v>200000</v>
      </c>
      <c r="K64" s="467">
        <v>0.2</v>
      </c>
      <c r="L64" s="467">
        <f t="shared" si="50"/>
        <v>1329719.168</v>
      </c>
      <c r="M64" s="467">
        <f t="shared" si="51"/>
        <v>1529719.168</v>
      </c>
      <c r="N64" s="467">
        <f t="shared" si="52"/>
        <v>1993075.328</v>
      </c>
      <c r="O64" s="467">
        <f t="shared" si="53"/>
        <v>5118876.672</v>
      </c>
      <c r="P64" s="467">
        <f t="shared" si="54"/>
        <v>21000</v>
      </c>
      <c r="Q64" s="467">
        <f t="shared" si="55"/>
        <v>33000</v>
      </c>
      <c r="R64" s="467">
        <f t="shared" si="56"/>
        <v>75000</v>
      </c>
      <c r="S64" s="467">
        <f t="shared" si="57"/>
        <v>95000</v>
      </c>
      <c r="T64" s="467">
        <f t="shared" si="58"/>
        <v>336000</v>
      </c>
      <c r="U64" s="467">
        <f t="shared" si="59"/>
        <v>460530.401280001</v>
      </c>
      <c r="V64" s="467">
        <f t="shared" si="60"/>
        <v>1020530.40128</v>
      </c>
      <c r="W64" s="474">
        <v>12</v>
      </c>
      <c r="X64" s="467">
        <f t="shared" si="61"/>
        <v>85044.2001066667</v>
      </c>
      <c r="Y64" s="470"/>
      <c r="Z64" s="929">
        <f t="shared" si="62"/>
        <v>85044.2001066667</v>
      </c>
      <c r="AA64" s="806">
        <v>66538.0689066667</v>
      </c>
      <c r="AB64" s="806">
        <f t="shared" si="63"/>
        <v>18506.1312</v>
      </c>
      <c r="AC64" s="479"/>
      <c r="AD64" s="479"/>
      <c r="AE64" s="479"/>
    </row>
    <row r="65" ht="15.5" spans="1:31">
      <c r="A65" s="464">
        <v>56</v>
      </c>
      <c r="B65" s="643" t="s">
        <v>177</v>
      </c>
      <c r="C65" s="467">
        <v>490135.833333334</v>
      </c>
      <c r="D65" s="466">
        <v>12</v>
      </c>
      <c r="E65" s="467">
        <f t="shared" si="48"/>
        <v>5881630.00000001</v>
      </c>
      <c r="F65" s="467"/>
      <c r="G65" s="468">
        <v>374530.4</v>
      </c>
      <c r="H65" s="470"/>
      <c r="I65" s="467">
        <f t="shared" si="49"/>
        <v>5507099.60000001</v>
      </c>
      <c r="J65" s="467">
        <v>200000</v>
      </c>
      <c r="K65" s="467">
        <v>0.2</v>
      </c>
      <c r="L65" s="467">
        <f t="shared" si="50"/>
        <v>1101419.92</v>
      </c>
      <c r="M65" s="467">
        <f t="shared" si="51"/>
        <v>1301419.92</v>
      </c>
      <c r="N65" s="467">
        <f t="shared" si="52"/>
        <v>1675950.32</v>
      </c>
      <c r="O65" s="467">
        <f t="shared" si="53"/>
        <v>4205679.68000001</v>
      </c>
      <c r="P65" s="467">
        <f t="shared" si="54"/>
        <v>21000</v>
      </c>
      <c r="Q65" s="467">
        <f t="shared" si="55"/>
        <v>33000</v>
      </c>
      <c r="R65" s="467">
        <f t="shared" si="56"/>
        <v>75000</v>
      </c>
      <c r="S65" s="467">
        <f t="shared" si="57"/>
        <v>95000</v>
      </c>
      <c r="T65" s="467">
        <f t="shared" si="58"/>
        <v>336000</v>
      </c>
      <c r="U65" s="467">
        <f t="shared" si="59"/>
        <v>241363.123200002</v>
      </c>
      <c r="V65" s="467">
        <f t="shared" si="60"/>
        <v>801363.123200002</v>
      </c>
      <c r="W65" s="474">
        <v>12</v>
      </c>
      <c r="X65" s="467">
        <f t="shared" si="61"/>
        <v>66780.2602666668</v>
      </c>
      <c r="Y65" s="470"/>
      <c r="Z65" s="929">
        <f t="shared" si="62"/>
        <v>66780.2602666668</v>
      </c>
      <c r="AA65" s="806">
        <v>51029.2273066667</v>
      </c>
      <c r="AB65" s="806">
        <f t="shared" si="63"/>
        <v>15751.0329600001</v>
      </c>
      <c r="AC65" s="479"/>
      <c r="AD65" s="479"/>
      <c r="AE65" s="479"/>
    </row>
    <row r="66" ht="15" spans="1:31">
      <c r="A66" s="464">
        <v>60</v>
      </c>
      <c r="B66" s="864"/>
      <c r="C66" s="467"/>
      <c r="D66" s="466"/>
      <c r="E66" s="467"/>
      <c r="F66" s="467"/>
      <c r="G66" s="470"/>
      <c r="H66" s="470"/>
      <c r="I66" s="467"/>
      <c r="J66" s="467"/>
      <c r="K66" s="467"/>
      <c r="L66" s="467"/>
      <c r="M66" s="467"/>
      <c r="N66" s="467"/>
      <c r="O66" s="467"/>
      <c r="P66" s="467"/>
      <c r="Q66" s="467"/>
      <c r="R66" s="467"/>
      <c r="S66" s="467"/>
      <c r="T66" s="467"/>
      <c r="U66" s="467"/>
      <c r="V66" s="467"/>
      <c r="W66" s="474"/>
      <c r="X66" s="467"/>
      <c r="Y66" s="470"/>
      <c r="Z66" s="929"/>
      <c r="AA66" s="806"/>
      <c r="AB66" s="806"/>
      <c r="AC66" s="479"/>
      <c r="AD66" s="479"/>
      <c r="AE66" s="479"/>
    </row>
    <row r="67" ht="15" spans="1:31">
      <c r="A67" s="464"/>
      <c r="B67" s="864" t="s">
        <v>180</v>
      </c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929"/>
      <c r="AA67" s="806"/>
      <c r="AB67" s="806"/>
      <c r="AC67" s="479"/>
      <c r="AD67" s="479"/>
      <c r="AE67" s="479"/>
    </row>
    <row r="68" ht="15.5" spans="1:31">
      <c r="A68" s="464"/>
      <c r="B68" s="643" t="s">
        <v>181</v>
      </c>
      <c r="C68" s="467">
        <v>1947106.41666666</v>
      </c>
      <c r="D68" s="466">
        <v>12</v>
      </c>
      <c r="E68" s="467">
        <f t="shared" ref="E68:E73" si="64">C68*D68</f>
        <v>23365276.9999999</v>
      </c>
      <c r="F68" s="467"/>
      <c r="G68" s="468">
        <v>1677222.16</v>
      </c>
      <c r="H68" s="470"/>
      <c r="I68" s="467">
        <f t="shared" ref="I68:I73" si="65">E68-F68-G68-H68</f>
        <v>21688054.8399999</v>
      </c>
      <c r="J68" s="467">
        <v>200000</v>
      </c>
      <c r="K68" s="467">
        <v>0.2</v>
      </c>
      <c r="L68" s="467">
        <f t="shared" ref="L68:L73" si="66">I68*K68</f>
        <v>4337610.96799998</v>
      </c>
      <c r="M68" s="467">
        <f t="shared" ref="M68:M73" si="67">J68+L68</f>
        <v>4537610.96799998</v>
      </c>
      <c r="N68" s="467">
        <f t="shared" ref="N68:N73" si="68">F68+G68+H68+M68</f>
        <v>6214833.12799998</v>
      </c>
      <c r="O68" s="467">
        <f t="shared" ref="O68:O73" si="69">E68-N68</f>
        <v>17150443.8719999</v>
      </c>
      <c r="P68" s="467">
        <f t="shared" ref="P68:P73" si="70">IF(O68&lt;300000,0.07*O68,21000)</f>
        <v>21000</v>
      </c>
      <c r="Q68" s="467">
        <f t="shared" ref="Q68:Q73" si="71">IF((O68-300000)&lt;0,0,IF((O68-300000)&lt;300000,0.11*(O68-300000),33000))</f>
        <v>33000</v>
      </c>
      <c r="R68" s="467">
        <f t="shared" ref="R68:R73" si="72">IF((O68-600000)&lt;0,0,IF((O68-600000)&lt;500000,0.15*(O68-600000),75000))</f>
        <v>75000</v>
      </c>
      <c r="S68" s="467">
        <f t="shared" ref="S68:S73" si="73">IF((O68-1100000)&lt;0,0,IF((O68-1100000)&lt;500000,0.19*(O68-1100000),95000))</f>
        <v>95000</v>
      </c>
      <c r="T68" s="467">
        <f t="shared" ref="T68:T73" si="74">IF((O68-1600000)&lt;0,0,IF((O68-1600000)&lt;1600000,0.21*(O68-1600000),336000))</f>
        <v>336000</v>
      </c>
      <c r="U68" s="467">
        <f t="shared" ref="U68:U71" si="75">24%*(O68-3200000)</f>
        <v>3348106.52927998</v>
      </c>
      <c r="V68" s="467">
        <f t="shared" ref="V68:V73" si="76">P68+Q68+R68+S68+T68+U68</f>
        <v>3908106.52927998</v>
      </c>
      <c r="W68" s="474">
        <v>12</v>
      </c>
      <c r="X68" s="467">
        <f t="shared" ref="X68:X73" si="77">V68/W68</f>
        <v>325675.544106665</v>
      </c>
      <c r="Y68" s="470"/>
      <c r="Z68" s="929">
        <f t="shared" ref="Z68:Z73" si="78">X68</f>
        <v>325675.544106665</v>
      </c>
      <c r="AA68" s="806">
        <v>270672.247466667</v>
      </c>
      <c r="AB68" s="806">
        <f t="shared" ref="AB68:AB73" si="79">Z68-AA68</f>
        <v>55003.2966399984</v>
      </c>
      <c r="AC68" s="479"/>
      <c r="AD68" s="479"/>
      <c r="AE68" s="479"/>
    </row>
    <row r="69" ht="15.5" spans="1:31">
      <c r="A69" s="464">
        <v>62</v>
      </c>
      <c r="B69" s="643" t="s">
        <v>185</v>
      </c>
      <c r="C69" s="467">
        <v>882595.5</v>
      </c>
      <c r="D69" s="466">
        <v>12</v>
      </c>
      <c r="E69" s="467">
        <f t="shared" si="64"/>
        <v>10591146</v>
      </c>
      <c r="F69" s="467"/>
      <c r="G69" s="468">
        <v>693691.68</v>
      </c>
      <c r="H69" s="470"/>
      <c r="I69" s="467">
        <f t="shared" si="65"/>
        <v>9897454.32</v>
      </c>
      <c r="J69" s="467">
        <v>200000</v>
      </c>
      <c r="K69" s="467">
        <v>0.2</v>
      </c>
      <c r="L69" s="467">
        <f t="shared" si="66"/>
        <v>1979490.864</v>
      </c>
      <c r="M69" s="467">
        <f t="shared" si="67"/>
        <v>2179490.864</v>
      </c>
      <c r="N69" s="467">
        <f t="shared" si="68"/>
        <v>2873182.544</v>
      </c>
      <c r="O69" s="467">
        <f t="shared" si="69"/>
        <v>7717963.456</v>
      </c>
      <c r="P69" s="467">
        <f t="shared" si="70"/>
        <v>21000</v>
      </c>
      <c r="Q69" s="467">
        <f t="shared" si="71"/>
        <v>33000</v>
      </c>
      <c r="R69" s="467">
        <f t="shared" si="72"/>
        <v>75000</v>
      </c>
      <c r="S69" s="467">
        <f t="shared" si="73"/>
        <v>95000</v>
      </c>
      <c r="T69" s="467">
        <f t="shared" si="74"/>
        <v>336000</v>
      </c>
      <c r="U69" s="467">
        <f t="shared" si="75"/>
        <v>1084311.22944</v>
      </c>
      <c r="V69" s="467">
        <f t="shared" si="76"/>
        <v>1644311.22944</v>
      </c>
      <c r="W69" s="474">
        <v>12</v>
      </c>
      <c r="X69" s="467">
        <f t="shared" si="77"/>
        <v>137025.935786667</v>
      </c>
      <c r="Y69" s="470"/>
      <c r="Z69" s="929">
        <f t="shared" si="78"/>
        <v>137025.935786667</v>
      </c>
      <c r="AA69" s="806">
        <v>112212.004906667</v>
      </c>
      <c r="AB69" s="806">
        <f t="shared" si="79"/>
        <v>24813.9308799997</v>
      </c>
      <c r="AC69" s="479"/>
      <c r="AD69" s="479"/>
      <c r="AE69" s="479"/>
    </row>
    <row r="70" ht="15.5" spans="1:31">
      <c r="A70" s="464">
        <v>63</v>
      </c>
      <c r="B70" s="643" t="s">
        <v>187</v>
      </c>
      <c r="C70" s="467">
        <v>713911.083333334</v>
      </c>
      <c r="D70" s="466">
        <v>12</v>
      </c>
      <c r="E70" s="467">
        <f t="shared" si="64"/>
        <v>8566933.00000001</v>
      </c>
      <c r="F70" s="467">
        <v>107120</v>
      </c>
      <c r="G70" s="468">
        <v>550954.64</v>
      </c>
      <c r="H70" s="470"/>
      <c r="I70" s="467">
        <f t="shared" si="65"/>
        <v>7908858.36000001</v>
      </c>
      <c r="J70" s="467">
        <v>200000</v>
      </c>
      <c r="K70" s="467">
        <v>0.2</v>
      </c>
      <c r="L70" s="467">
        <f t="shared" si="66"/>
        <v>1581771.672</v>
      </c>
      <c r="M70" s="467">
        <f t="shared" si="67"/>
        <v>1781771.672</v>
      </c>
      <c r="N70" s="467">
        <f t="shared" si="68"/>
        <v>2439846.312</v>
      </c>
      <c r="O70" s="467">
        <f t="shared" si="69"/>
        <v>6127086.68800001</v>
      </c>
      <c r="P70" s="467">
        <f t="shared" si="70"/>
        <v>21000</v>
      </c>
      <c r="Q70" s="467">
        <f t="shared" si="71"/>
        <v>33000</v>
      </c>
      <c r="R70" s="467">
        <f t="shared" si="72"/>
        <v>75000</v>
      </c>
      <c r="S70" s="467">
        <f t="shared" si="73"/>
        <v>95000</v>
      </c>
      <c r="T70" s="467">
        <f t="shared" si="74"/>
        <v>336000</v>
      </c>
      <c r="U70" s="467">
        <f t="shared" si="75"/>
        <v>702500.805120001</v>
      </c>
      <c r="V70" s="467">
        <f t="shared" si="76"/>
        <v>1262500.80512</v>
      </c>
      <c r="W70" s="474">
        <v>12</v>
      </c>
      <c r="X70" s="467">
        <f t="shared" si="77"/>
        <v>105208.400426667</v>
      </c>
      <c r="Y70" s="470"/>
      <c r="Z70" s="929">
        <f t="shared" si="78"/>
        <v>105208.400426667</v>
      </c>
      <c r="AA70" s="806">
        <v>86076.1041866667</v>
      </c>
      <c r="AB70" s="806">
        <f t="shared" si="79"/>
        <v>19132.2962400001</v>
      </c>
      <c r="AC70" s="479"/>
      <c r="AD70" s="479"/>
      <c r="AE70" s="479"/>
    </row>
    <row r="71" ht="15.5" spans="1:31">
      <c r="A71" s="464">
        <v>64</v>
      </c>
      <c r="B71" s="643" t="s">
        <v>194</v>
      </c>
      <c r="C71" s="467">
        <v>564993.583333333</v>
      </c>
      <c r="D71" s="466">
        <v>12</v>
      </c>
      <c r="E71" s="467">
        <f t="shared" si="64"/>
        <v>6779923</v>
      </c>
      <c r="F71" s="467"/>
      <c r="G71" s="468">
        <v>436793.839999999</v>
      </c>
      <c r="H71" s="470"/>
      <c r="I71" s="467">
        <f t="shared" si="65"/>
        <v>6343129.16</v>
      </c>
      <c r="J71" s="467">
        <v>200000</v>
      </c>
      <c r="K71" s="467">
        <v>0.2</v>
      </c>
      <c r="L71" s="467">
        <f t="shared" si="66"/>
        <v>1268625.832</v>
      </c>
      <c r="M71" s="467">
        <f t="shared" si="67"/>
        <v>1468625.832</v>
      </c>
      <c r="N71" s="467">
        <f t="shared" si="68"/>
        <v>1905419.672</v>
      </c>
      <c r="O71" s="467">
        <f t="shared" si="69"/>
        <v>4874503.328</v>
      </c>
      <c r="P71" s="467">
        <f t="shared" si="70"/>
        <v>21000</v>
      </c>
      <c r="Q71" s="467">
        <f t="shared" si="71"/>
        <v>33000</v>
      </c>
      <c r="R71" s="467">
        <f t="shared" si="72"/>
        <v>75000</v>
      </c>
      <c r="S71" s="467">
        <f t="shared" si="73"/>
        <v>95000</v>
      </c>
      <c r="T71" s="467">
        <f t="shared" si="74"/>
        <v>336000</v>
      </c>
      <c r="U71" s="467">
        <f t="shared" si="75"/>
        <v>401880.798719999</v>
      </c>
      <c r="V71" s="467">
        <f t="shared" si="76"/>
        <v>961880.798719999</v>
      </c>
      <c r="W71" s="474">
        <v>12</v>
      </c>
      <c r="X71" s="467">
        <f t="shared" si="77"/>
        <v>80156.7332266666</v>
      </c>
      <c r="Y71" s="470"/>
      <c r="Z71" s="929">
        <f t="shared" si="78"/>
        <v>80156.7332266666</v>
      </c>
      <c r="AA71" s="806">
        <v>62231.1146666667</v>
      </c>
      <c r="AB71" s="806">
        <f t="shared" si="79"/>
        <v>17925.6185599999</v>
      </c>
      <c r="AC71" s="479"/>
      <c r="AD71" s="479"/>
      <c r="AE71" s="479"/>
    </row>
    <row r="72" ht="15.5" spans="1:31">
      <c r="A72" s="464">
        <v>65</v>
      </c>
      <c r="B72" s="643" t="s">
        <v>198</v>
      </c>
      <c r="C72" s="467">
        <v>447016.166666666</v>
      </c>
      <c r="D72" s="466">
        <v>12</v>
      </c>
      <c r="E72" s="467">
        <f t="shared" si="64"/>
        <v>5364193.99999999</v>
      </c>
      <c r="F72" s="467"/>
      <c r="G72" s="468">
        <v>333135.52</v>
      </c>
      <c r="H72" s="470"/>
      <c r="I72" s="467">
        <f t="shared" si="65"/>
        <v>5031058.47999999</v>
      </c>
      <c r="J72" s="467">
        <v>200000</v>
      </c>
      <c r="K72" s="467">
        <v>0.2</v>
      </c>
      <c r="L72" s="467">
        <f t="shared" si="66"/>
        <v>1006211.696</v>
      </c>
      <c r="M72" s="467">
        <f t="shared" si="67"/>
        <v>1206211.696</v>
      </c>
      <c r="N72" s="467">
        <f t="shared" si="68"/>
        <v>1539347.216</v>
      </c>
      <c r="O72" s="467">
        <f t="shared" si="69"/>
        <v>3824846.78399999</v>
      </c>
      <c r="P72" s="467">
        <f t="shared" si="70"/>
        <v>21000</v>
      </c>
      <c r="Q72" s="467">
        <f t="shared" si="71"/>
        <v>33000</v>
      </c>
      <c r="R72" s="467">
        <f t="shared" si="72"/>
        <v>75000</v>
      </c>
      <c r="S72" s="467">
        <f t="shared" si="73"/>
        <v>95000</v>
      </c>
      <c r="T72" s="467">
        <f t="shared" si="74"/>
        <v>336000</v>
      </c>
      <c r="U72" s="467">
        <f>0.24*(O72-3200000)</f>
        <v>149963.228159998</v>
      </c>
      <c r="V72" s="467">
        <f t="shared" si="76"/>
        <v>709963.228159998</v>
      </c>
      <c r="W72" s="474">
        <v>12</v>
      </c>
      <c r="X72" s="467">
        <f t="shared" si="77"/>
        <v>59163.6023466665</v>
      </c>
      <c r="Y72" s="470"/>
      <c r="Z72" s="929">
        <f t="shared" si="78"/>
        <v>59163.6023466665</v>
      </c>
      <c r="AA72" s="806">
        <v>44641.5005866667</v>
      </c>
      <c r="AB72" s="806">
        <f t="shared" si="79"/>
        <v>14522.1017599998</v>
      </c>
      <c r="AC72" s="479"/>
      <c r="AD72" s="479"/>
      <c r="AE72" s="479"/>
    </row>
    <row r="73" ht="24.75" customHeight="1" spans="1:31">
      <c r="A73" s="464"/>
      <c r="B73" s="643" t="s">
        <v>200</v>
      </c>
      <c r="C73" s="467">
        <v>401910.75</v>
      </c>
      <c r="D73" s="466">
        <v>12</v>
      </c>
      <c r="E73" s="467">
        <f t="shared" si="64"/>
        <v>4822929</v>
      </c>
      <c r="F73" s="467"/>
      <c r="G73" s="468">
        <v>289834.32</v>
      </c>
      <c r="H73" s="470"/>
      <c r="I73" s="467">
        <f t="shared" si="65"/>
        <v>4533094.68</v>
      </c>
      <c r="J73" s="467">
        <v>200000</v>
      </c>
      <c r="K73" s="467">
        <v>0.2</v>
      </c>
      <c r="L73" s="467">
        <f t="shared" si="66"/>
        <v>906618.936</v>
      </c>
      <c r="M73" s="467">
        <f t="shared" si="67"/>
        <v>1106618.936</v>
      </c>
      <c r="N73" s="467">
        <f t="shared" si="68"/>
        <v>1396453.256</v>
      </c>
      <c r="O73" s="467">
        <f t="shared" si="69"/>
        <v>3426475.744</v>
      </c>
      <c r="P73" s="467">
        <f t="shared" si="70"/>
        <v>21000</v>
      </c>
      <c r="Q73" s="467">
        <f t="shared" si="71"/>
        <v>33000</v>
      </c>
      <c r="R73" s="467">
        <f t="shared" si="72"/>
        <v>75000</v>
      </c>
      <c r="S73" s="467">
        <f t="shared" si="73"/>
        <v>95000</v>
      </c>
      <c r="T73" s="467">
        <f t="shared" si="74"/>
        <v>336000</v>
      </c>
      <c r="U73" s="467">
        <f>0.24*(O73-3200000)</f>
        <v>54354.17856</v>
      </c>
      <c r="V73" s="467">
        <f t="shared" si="76"/>
        <v>614354.17856</v>
      </c>
      <c r="W73" s="474">
        <v>12</v>
      </c>
      <c r="X73" s="467">
        <f t="shared" si="77"/>
        <v>51196.1815466667</v>
      </c>
      <c r="Y73" s="470"/>
      <c r="Z73" s="929">
        <f t="shared" si="78"/>
        <v>51196.1815466667</v>
      </c>
      <c r="AA73" s="806">
        <v>38659.1656266667</v>
      </c>
      <c r="AB73" s="806">
        <f t="shared" si="79"/>
        <v>12537.01592</v>
      </c>
      <c r="AC73" s="479"/>
      <c r="AD73" s="479"/>
      <c r="AE73" s="479"/>
    </row>
    <row r="74" ht="15" spans="1:31">
      <c r="A74" s="464">
        <v>66</v>
      </c>
      <c r="B74" s="864"/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929"/>
      <c r="AA74" s="806"/>
      <c r="AB74" s="806"/>
      <c r="AC74" s="479"/>
      <c r="AD74" s="479"/>
      <c r="AE74" s="479"/>
    </row>
    <row r="75" ht="15" spans="1:31">
      <c r="A75" s="464">
        <v>67</v>
      </c>
      <c r="B75" s="864" t="s">
        <v>202</v>
      </c>
      <c r="C75" s="467"/>
      <c r="AA75" s="281"/>
      <c r="AB75" s="806"/>
      <c r="AC75" s="479"/>
      <c r="AD75" s="479"/>
      <c r="AE75" s="479"/>
    </row>
    <row r="76" ht="15.5" spans="1:31">
      <c r="A76" s="464">
        <v>68</v>
      </c>
      <c r="B76" s="643" t="s">
        <v>203</v>
      </c>
      <c r="C76" s="467">
        <v>1847612</v>
      </c>
      <c r="D76" s="466">
        <v>12</v>
      </c>
      <c r="E76" s="467">
        <f t="shared" ref="E76:E85" si="80">C76*D76</f>
        <v>22171344</v>
      </c>
      <c r="F76" s="467">
        <v>307730.499999999</v>
      </c>
      <c r="G76" s="468">
        <v>1581707.52</v>
      </c>
      <c r="H76" s="470"/>
      <c r="I76" s="467">
        <f t="shared" ref="I76:I85" si="81">E76-F76-G76-H76</f>
        <v>20281905.98</v>
      </c>
      <c r="J76" s="467">
        <v>200000</v>
      </c>
      <c r="K76" s="467">
        <v>0.2</v>
      </c>
      <c r="L76" s="467">
        <f t="shared" ref="L76:L85" si="82">I76*K76</f>
        <v>4056381.196</v>
      </c>
      <c r="M76" s="467">
        <f t="shared" ref="M76:M85" si="83">J76+L76</f>
        <v>4256381.196</v>
      </c>
      <c r="N76" s="467">
        <f t="shared" ref="N76:N85" si="84">F76+G76+H76+M76</f>
        <v>6145819.216</v>
      </c>
      <c r="O76" s="467">
        <f t="shared" ref="O76:O85" si="85">E76-N76</f>
        <v>16025524.784</v>
      </c>
      <c r="P76" s="467">
        <f t="shared" ref="P76:P85" si="86">IF(O76&lt;300000,0.07*O76,21000)</f>
        <v>21000</v>
      </c>
      <c r="Q76" s="467">
        <f t="shared" ref="Q76:Q85" si="87">IF((O76-300000)&lt;0,0,IF((O76-300000)&lt;300000,0.11*(O76-300000),33000))</f>
        <v>33000</v>
      </c>
      <c r="R76" s="467">
        <f t="shared" ref="R76:R85" si="88">IF((O76-600000)&lt;0,0,IF((O76-600000)&lt;500000,0.15*(O76-600000),75000))</f>
        <v>75000</v>
      </c>
      <c r="S76" s="467">
        <f t="shared" ref="S76:S85" si="89">IF((O76-1100000)&lt;0,0,IF((O76-1100000)&lt;500000,0.19*(O76-1100000),95000))</f>
        <v>95000</v>
      </c>
      <c r="T76" s="467">
        <f t="shared" ref="T76:T85" si="90">IF((O76-1600000)&lt;0,0,IF((O76-1600000)&lt;1600000,0.21*(O76-1600000),336000))</f>
        <v>336000</v>
      </c>
      <c r="U76" s="467">
        <f t="shared" ref="U76:U85" si="91">24%*(O76-3200000)</f>
        <v>3078125.94816</v>
      </c>
      <c r="V76" s="467">
        <f t="shared" ref="V76:V85" si="92">P76+Q76+R76+S76+T76+U76</f>
        <v>3638125.94816</v>
      </c>
      <c r="W76" s="474">
        <v>12</v>
      </c>
      <c r="X76" s="467">
        <f t="shared" ref="X76:X85" si="93">V76/W76</f>
        <v>303177.162346667</v>
      </c>
      <c r="Y76" s="470"/>
      <c r="Z76" s="929">
        <f t="shared" ref="Z76:Z85" si="94">X76</f>
        <v>303177.162346667</v>
      </c>
      <c r="AA76" s="467">
        <v>251101.24</v>
      </c>
      <c r="AB76" s="806">
        <f t="shared" ref="AB76:AB85" si="95">Z76-AA76</f>
        <v>52075.9223466666</v>
      </c>
      <c r="AC76" s="479"/>
      <c r="AD76" s="479"/>
      <c r="AE76" s="479"/>
    </row>
    <row r="77" ht="15.5" spans="1:31">
      <c r="A77" s="464">
        <v>69</v>
      </c>
      <c r="B77" s="643" t="s">
        <v>205</v>
      </c>
      <c r="C77" s="467">
        <v>1232711.08333333</v>
      </c>
      <c r="D77" s="466">
        <v>12</v>
      </c>
      <c r="E77" s="467">
        <f t="shared" si="80"/>
        <v>14792533</v>
      </c>
      <c r="F77" s="467"/>
      <c r="G77" s="468">
        <v>818602.639999999</v>
      </c>
      <c r="H77" s="470"/>
      <c r="I77" s="467">
        <f t="shared" si="81"/>
        <v>13973930.36</v>
      </c>
      <c r="J77" s="467">
        <v>200000</v>
      </c>
      <c r="K77" s="467">
        <v>0.2</v>
      </c>
      <c r="L77" s="467">
        <f t="shared" si="82"/>
        <v>2794786.07199999</v>
      </c>
      <c r="M77" s="467">
        <f t="shared" si="83"/>
        <v>2994786.07199999</v>
      </c>
      <c r="N77" s="467">
        <f t="shared" si="84"/>
        <v>3813388.71199999</v>
      </c>
      <c r="O77" s="467">
        <f t="shared" si="85"/>
        <v>10979144.288</v>
      </c>
      <c r="P77" s="467">
        <f t="shared" si="86"/>
        <v>21000</v>
      </c>
      <c r="Q77" s="467">
        <f t="shared" si="87"/>
        <v>33000</v>
      </c>
      <c r="R77" s="467">
        <f t="shared" si="88"/>
        <v>75000</v>
      </c>
      <c r="S77" s="467">
        <f t="shared" si="89"/>
        <v>95000</v>
      </c>
      <c r="T77" s="467">
        <f t="shared" si="90"/>
        <v>336000</v>
      </c>
      <c r="U77" s="467">
        <f t="shared" si="91"/>
        <v>1866994.62911999</v>
      </c>
      <c r="V77" s="467">
        <f t="shared" si="92"/>
        <v>2426994.62911999</v>
      </c>
      <c r="W77" s="474">
        <v>12</v>
      </c>
      <c r="X77" s="467">
        <f t="shared" si="93"/>
        <v>202249.552426666</v>
      </c>
      <c r="Y77" s="470"/>
      <c r="Z77" s="929">
        <f t="shared" si="94"/>
        <v>202249.552426666</v>
      </c>
      <c r="AA77" s="467">
        <v>177751.03</v>
      </c>
      <c r="AB77" s="806">
        <f t="shared" si="95"/>
        <v>24498.522426666</v>
      </c>
      <c r="AC77" s="479"/>
      <c r="AD77" s="479"/>
      <c r="AE77" s="479"/>
    </row>
    <row r="78" ht="31" spans="1:31">
      <c r="A78" s="464">
        <v>70</v>
      </c>
      <c r="B78" s="643" t="s">
        <v>208</v>
      </c>
      <c r="C78" s="467">
        <v>882595.5</v>
      </c>
      <c r="D78" s="466">
        <v>12</v>
      </c>
      <c r="E78" s="467">
        <f t="shared" si="80"/>
        <v>10591146</v>
      </c>
      <c r="F78" s="467"/>
      <c r="G78" s="468">
        <v>693691.68</v>
      </c>
      <c r="H78" s="470"/>
      <c r="I78" s="467">
        <f t="shared" si="81"/>
        <v>9897454.32</v>
      </c>
      <c r="J78" s="467">
        <v>200000</v>
      </c>
      <c r="K78" s="467">
        <v>0.2</v>
      </c>
      <c r="L78" s="467">
        <f t="shared" si="82"/>
        <v>1979490.864</v>
      </c>
      <c r="M78" s="467">
        <f t="shared" si="83"/>
        <v>2179490.864</v>
      </c>
      <c r="N78" s="467">
        <f t="shared" si="84"/>
        <v>2873182.544</v>
      </c>
      <c r="O78" s="467">
        <f t="shared" si="85"/>
        <v>7717963.456</v>
      </c>
      <c r="P78" s="467">
        <f t="shared" si="86"/>
        <v>21000</v>
      </c>
      <c r="Q78" s="467">
        <f t="shared" si="87"/>
        <v>33000</v>
      </c>
      <c r="R78" s="467">
        <f t="shared" si="88"/>
        <v>75000</v>
      </c>
      <c r="S78" s="467">
        <f t="shared" si="89"/>
        <v>95000</v>
      </c>
      <c r="T78" s="467">
        <f t="shared" si="90"/>
        <v>336000</v>
      </c>
      <c r="U78" s="467">
        <f t="shared" si="91"/>
        <v>1084311.22944</v>
      </c>
      <c r="V78" s="467">
        <f t="shared" si="92"/>
        <v>1644311.22944</v>
      </c>
      <c r="W78" s="474">
        <v>12</v>
      </c>
      <c r="X78" s="467">
        <f t="shared" si="93"/>
        <v>137025.935786667</v>
      </c>
      <c r="Y78" s="470"/>
      <c r="Z78" s="929">
        <f t="shared" si="94"/>
        <v>137025.935786667</v>
      </c>
      <c r="AA78" s="467">
        <v>112212.004906667</v>
      </c>
      <c r="AB78" s="806">
        <f t="shared" si="95"/>
        <v>24813.9308799997</v>
      </c>
      <c r="AC78" s="479"/>
      <c r="AD78" s="479"/>
      <c r="AE78" s="479"/>
    </row>
    <row r="79" ht="15.5" spans="1:31">
      <c r="A79" s="464">
        <v>71</v>
      </c>
      <c r="B79" s="643" t="s">
        <v>209</v>
      </c>
      <c r="C79" s="467">
        <v>793195.833333333</v>
      </c>
      <c r="D79" s="466">
        <v>12</v>
      </c>
      <c r="E79" s="467">
        <f t="shared" si="80"/>
        <v>9518350</v>
      </c>
      <c r="F79" s="467"/>
      <c r="G79" s="468">
        <v>627067.999999999</v>
      </c>
      <c r="H79" s="470"/>
      <c r="I79" s="467">
        <f t="shared" si="81"/>
        <v>8891282</v>
      </c>
      <c r="J79" s="467">
        <v>200000</v>
      </c>
      <c r="K79" s="467">
        <v>0.2</v>
      </c>
      <c r="L79" s="467">
        <f t="shared" si="82"/>
        <v>1778256.4</v>
      </c>
      <c r="M79" s="467">
        <f t="shared" si="83"/>
        <v>1978256.4</v>
      </c>
      <c r="N79" s="467">
        <f t="shared" si="84"/>
        <v>2605324.4</v>
      </c>
      <c r="O79" s="467">
        <f t="shared" si="85"/>
        <v>6913025.6</v>
      </c>
      <c r="P79" s="467">
        <f t="shared" si="86"/>
        <v>21000</v>
      </c>
      <c r="Q79" s="467">
        <f t="shared" si="87"/>
        <v>33000</v>
      </c>
      <c r="R79" s="467">
        <f t="shared" si="88"/>
        <v>75000</v>
      </c>
      <c r="S79" s="467">
        <f t="shared" si="89"/>
        <v>95000</v>
      </c>
      <c r="T79" s="467">
        <f t="shared" si="90"/>
        <v>336000</v>
      </c>
      <c r="U79" s="467">
        <f t="shared" si="91"/>
        <v>891126.143999999</v>
      </c>
      <c r="V79" s="467">
        <f t="shared" si="92"/>
        <v>1451126.144</v>
      </c>
      <c r="W79" s="474">
        <v>12</v>
      </c>
      <c r="X79" s="467">
        <f t="shared" si="93"/>
        <v>120927.178666667</v>
      </c>
      <c r="Y79" s="470"/>
      <c r="Z79" s="929">
        <f t="shared" si="94"/>
        <v>120927.178666667</v>
      </c>
      <c r="AA79" s="467">
        <v>83767.87</v>
      </c>
      <c r="AB79" s="806">
        <f t="shared" si="95"/>
        <v>37159.3086666666</v>
      </c>
      <c r="AC79" s="479"/>
      <c r="AD79" s="479"/>
      <c r="AE79" s="479"/>
    </row>
    <row r="80" ht="15.5" spans="1:31">
      <c r="A80" s="464">
        <v>72</v>
      </c>
      <c r="B80" s="643" t="s">
        <v>210</v>
      </c>
      <c r="C80" s="467">
        <v>793195.833333333</v>
      </c>
      <c r="D80" s="466">
        <v>12</v>
      </c>
      <c r="E80" s="467">
        <f t="shared" si="80"/>
        <v>9518350</v>
      </c>
      <c r="F80" s="467"/>
      <c r="G80" s="468">
        <v>627067.999999999</v>
      </c>
      <c r="H80" s="470"/>
      <c r="I80" s="467">
        <f t="shared" si="81"/>
        <v>8891282</v>
      </c>
      <c r="J80" s="467">
        <v>200000</v>
      </c>
      <c r="K80" s="467">
        <v>0.2</v>
      </c>
      <c r="L80" s="467">
        <f t="shared" si="82"/>
        <v>1778256.4</v>
      </c>
      <c r="M80" s="467">
        <f t="shared" si="83"/>
        <v>1978256.4</v>
      </c>
      <c r="N80" s="467">
        <f t="shared" si="84"/>
        <v>2605324.4</v>
      </c>
      <c r="O80" s="467">
        <f t="shared" si="85"/>
        <v>6913025.6</v>
      </c>
      <c r="P80" s="467">
        <f t="shared" si="86"/>
        <v>21000</v>
      </c>
      <c r="Q80" s="467">
        <f t="shared" si="87"/>
        <v>33000</v>
      </c>
      <c r="R80" s="467">
        <f t="shared" si="88"/>
        <v>75000</v>
      </c>
      <c r="S80" s="467">
        <f t="shared" si="89"/>
        <v>95000</v>
      </c>
      <c r="T80" s="467">
        <f t="shared" si="90"/>
        <v>336000</v>
      </c>
      <c r="U80" s="467">
        <f t="shared" si="91"/>
        <v>891126.143999999</v>
      </c>
      <c r="V80" s="467">
        <f t="shared" si="92"/>
        <v>1451126.144</v>
      </c>
      <c r="W80" s="474">
        <v>12</v>
      </c>
      <c r="X80" s="467">
        <f t="shared" si="93"/>
        <v>120927.178666667</v>
      </c>
      <c r="Y80" s="470"/>
      <c r="Z80" s="929">
        <f t="shared" si="94"/>
        <v>120927.178666667</v>
      </c>
      <c r="AA80" s="467">
        <v>83753.4084266666</v>
      </c>
      <c r="AB80" s="806">
        <f t="shared" si="95"/>
        <v>37173.77024</v>
      </c>
      <c r="AC80" s="479"/>
      <c r="AD80" s="479"/>
      <c r="AE80" s="479"/>
    </row>
    <row r="81" ht="31" spans="1:31">
      <c r="A81" s="464">
        <v>73</v>
      </c>
      <c r="B81" s="643" t="s">
        <v>211</v>
      </c>
      <c r="C81" s="467">
        <v>772925</v>
      </c>
      <c r="D81" s="466">
        <v>12</v>
      </c>
      <c r="E81" s="467">
        <f t="shared" si="80"/>
        <v>9275100</v>
      </c>
      <c r="F81" s="467"/>
      <c r="G81" s="468">
        <v>607608</v>
      </c>
      <c r="H81" s="470"/>
      <c r="I81" s="467">
        <f t="shared" si="81"/>
        <v>8667492</v>
      </c>
      <c r="J81" s="467">
        <v>200000</v>
      </c>
      <c r="K81" s="467">
        <v>0.2</v>
      </c>
      <c r="L81" s="467">
        <f t="shared" si="82"/>
        <v>1733498.4</v>
      </c>
      <c r="M81" s="467">
        <f t="shared" si="83"/>
        <v>1933498.4</v>
      </c>
      <c r="N81" s="467">
        <f t="shared" si="84"/>
        <v>2541106.4</v>
      </c>
      <c r="O81" s="467">
        <f t="shared" si="85"/>
        <v>6733993.6</v>
      </c>
      <c r="P81" s="467">
        <f t="shared" si="86"/>
        <v>21000</v>
      </c>
      <c r="Q81" s="467">
        <f t="shared" si="87"/>
        <v>33000</v>
      </c>
      <c r="R81" s="467">
        <f t="shared" si="88"/>
        <v>75000</v>
      </c>
      <c r="S81" s="467">
        <f t="shared" si="89"/>
        <v>95000</v>
      </c>
      <c r="T81" s="467">
        <f t="shared" si="90"/>
        <v>336000</v>
      </c>
      <c r="U81" s="467">
        <f t="shared" si="91"/>
        <v>848158.464</v>
      </c>
      <c r="V81" s="467">
        <f t="shared" si="92"/>
        <v>1408158.464</v>
      </c>
      <c r="W81" s="474">
        <v>12</v>
      </c>
      <c r="X81" s="467">
        <f t="shared" si="93"/>
        <v>117346.538666667</v>
      </c>
      <c r="Y81" s="470"/>
      <c r="Z81" s="929">
        <f t="shared" si="94"/>
        <v>117346.538666667</v>
      </c>
      <c r="AA81" s="467">
        <v>81302.3959466667</v>
      </c>
      <c r="AB81" s="806">
        <f t="shared" si="95"/>
        <v>36044.14272</v>
      </c>
      <c r="AC81" s="479"/>
      <c r="AD81" s="479"/>
      <c r="AE81" s="479"/>
    </row>
    <row r="82" ht="15.5" spans="1:31">
      <c r="A82" s="464">
        <v>74</v>
      </c>
      <c r="B82" s="643" t="s">
        <v>213</v>
      </c>
      <c r="C82" s="467">
        <v>578828.166666667</v>
      </c>
      <c r="D82" s="466">
        <v>12</v>
      </c>
      <c r="E82" s="467">
        <f t="shared" si="80"/>
        <v>6945938</v>
      </c>
      <c r="F82" s="467"/>
      <c r="G82" s="473">
        <v>450075.040000001</v>
      </c>
      <c r="H82" s="470"/>
      <c r="I82" s="467">
        <f t="shared" si="81"/>
        <v>6495862.96</v>
      </c>
      <c r="J82" s="467">
        <v>200000</v>
      </c>
      <c r="K82" s="467">
        <v>0.2</v>
      </c>
      <c r="L82" s="467">
        <f t="shared" si="82"/>
        <v>1299172.592</v>
      </c>
      <c r="M82" s="467">
        <f t="shared" si="83"/>
        <v>1499172.592</v>
      </c>
      <c r="N82" s="467">
        <f t="shared" si="84"/>
        <v>1949247.632</v>
      </c>
      <c r="O82" s="467">
        <f t="shared" si="85"/>
        <v>4996690.368</v>
      </c>
      <c r="P82" s="467">
        <f t="shared" si="86"/>
        <v>21000</v>
      </c>
      <c r="Q82" s="467">
        <f t="shared" si="87"/>
        <v>33000</v>
      </c>
      <c r="R82" s="467">
        <f t="shared" si="88"/>
        <v>75000</v>
      </c>
      <c r="S82" s="467">
        <f t="shared" si="89"/>
        <v>95000</v>
      </c>
      <c r="T82" s="467">
        <f t="shared" si="90"/>
        <v>336000</v>
      </c>
      <c r="U82" s="467">
        <f t="shared" si="91"/>
        <v>431205.688320001</v>
      </c>
      <c r="V82" s="467">
        <f t="shared" si="92"/>
        <v>991205.688320001</v>
      </c>
      <c r="W82" s="474">
        <v>12</v>
      </c>
      <c r="X82" s="467">
        <f t="shared" si="93"/>
        <v>82600.4740266667</v>
      </c>
      <c r="Y82" s="470"/>
      <c r="Z82" s="929">
        <f t="shared" si="94"/>
        <v>82600.4740266667</v>
      </c>
      <c r="AA82" s="467">
        <v>64384.5917866667</v>
      </c>
      <c r="AB82" s="806">
        <f t="shared" si="95"/>
        <v>18215.88224</v>
      </c>
      <c r="AC82" s="479"/>
      <c r="AD82" s="479"/>
      <c r="AE82" s="479"/>
    </row>
    <row r="83" ht="24" customHeight="1" spans="1:31">
      <c r="A83" s="464">
        <v>75</v>
      </c>
      <c r="B83" s="643" t="s">
        <v>214</v>
      </c>
      <c r="C83" s="467">
        <v>617472.75</v>
      </c>
      <c r="D83" s="466">
        <v>12</v>
      </c>
      <c r="E83" s="467">
        <f t="shared" si="80"/>
        <v>7409673</v>
      </c>
      <c r="F83" s="467">
        <v>93501.975</v>
      </c>
      <c r="G83" s="468">
        <v>477573.84</v>
      </c>
      <c r="H83" s="470"/>
      <c r="I83" s="467">
        <f t="shared" si="81"/>
        <v>6838597.185</v>
      </c>
      <c r="J83" s="467">
        <v>200000</v>
      </c>
      <c r="K83" s="467">
        <v>0.2</v>
      </c>
      <c r="L83" s="467">
        <f t="shared" si="82"/>
        <v>1367719.437</v>
      </c>
      <c r="M83" s="467">
        <f t="shared" si="83"/>
        <v>1567719.437</v>
      </c>
      <c r="N83" s="467">
        <f t="shared" si="84"/>
        <v>2138795.252</v>
      </c>
      <c r="O83" s="467">
        <f t="shared" si="85"/>
        <v>5270877.748</v>
      </c>
      <c r="P83" s="467">
        <f t="shared" si="86"/>
        <v>21000</v>
      </c>
      <c r="Q83" s="467">
        <f t="shared" si="87"/>
        <v>33000</v>
      </c>
      <c r="R83" s="467">
        <f t="shared" si="88"/>
        <v>75000</v>
      </c>
      <c r="S83" s="467">
        <f t="shared" si="89"/>
        <v>95000</v>
      </c>
      <c r="T83" s="467">
        <f t="shared" si="90"/>
        <v>336000</v>
      </c>
      <c r="U83" s="467">
        <f t="shared" si="91"/>
        <v>497010.65952</v>
      </c>
      <c r="V83" s="467">
        <f t="shared" si="92"/>
        <v>1057010.65952</v>
      </c>
      <c r="W83" s="474">
        <v>12</v>
      </c>
      <c r="X83" s="467">
        <f t="shared" si="93"/>
        <v>88084.2216266667</v>
      </c>
      <c r="Y83" s="470"/>
      <c r="Z83" s="929">
        <f t="shared" si="94"/>
        <v>88084.2216266667</v>
      </c>
      <c r="AA83" s="467">
        <v>70529.4753546667</v>
      </c>
      <c r="AB83" s="806">
        <f t="shared" si="95"/>
        <v>17554.746272</v>
      </c>
      <c r="AC83" s="479"/>
      <c r="AD83" s="479"/>
      <c r="AE83" s="479"/>
    </row>
    <row r="84" ht="15.5" spans="1:31">
      <c r="A84" s="464">
        <v>76</v>
      </c>
      <c r="B84" s="643" t="s">
        <v>217</v>
      </c>
      <c r="C84" s="467">
        <v>490135.833333334</v>
      </c>
      <c r="D84" s="466">
        <v>12</v>
      </c>
      <c r="E84" s="467">
        <f t="shared" si="80"/>
        <v>5881630.00000001</v>
      </c>
      <c r="F84" s="467"/>
      <c r="G84" s="468">
        <v>374530.4</v>
      </c>
      <c r="H84" s="470"/>
      <c r="I84" s="467">
        <f t="shared" si="81"/>
        <v>5507099.60000001</v>
      </c>
      <c r="J84" s="467">
        <v>200000</v>
      </c>
      <c r="K84" s="467">
        <v>0.2</v>
      </c>
      <c r="L84" s="467">
        <f t="shared" si="82"/>
        <v>1101419.92</v>
      </c>
      <c r="M84" s="467">
        <f t="shared" si="83"/>
        <v>1301419.92</v>
      </c>
      <c r="N84" s="467">
        <f t="shared" si="84"/>
        <v>1675950.32</v>
      </c>
      <c r="O84" s="467">
        <f t="shared" si="85"/>
        <v>4205679.68000001</v>
      </c>
      <c r="P84" s="467">
        <f t="shared" si="86"/>
        <v>21000</v>
      </c>
      <c r="Q84" s="467">
        <f t="shared" si="87"/>
        <v>33000</v>
      </c>
      <c r="R84" s="467">
        <f t="shared" si="88"/>
        <v>75000</v>
      </c>
      <c r="S84" s="467">
        <f t="shared" si="89"/>
        <v>95000</v>
      </c>
      <c r="T84" s="467">
        <f t="shared" si="90"/>
        <v>336000</v>
      </c>
      <c r="U84" s="467">
        <f t="shared" si="91"/>
        <v>241363.123200002</v>
      </c>
      <c r="V84" s="467">
        <f t="shared" si="92"/>
        <v>801363.123200002</v>
      </c>
      <c r="W84" s="474">
        <v>12</v>
      </c>
      <c r="X84" s="467">
        <f t="shared" si="93"/>
        <v>66780.2602666668</v>
      </c>
      <c r="Y84" s="470"/>
      <c r="Z84" s="929">
        <f t="shared" si="94"/>
        <v>66780.2602666668</v>
      </c>
      <c r="AA84" s="467">
        <v>51029.2273066667</v>
      </c>
      <c r="AB84" s="806">
        <f t="shared" si="95"/>
        <v>15751.0329600001</v>
      </c>
      <c r="AC84" s="479"/>
      <c r="AD84" s="479"/>
      <c r="AE84" s="479"/>
    </row>
    <row r="85" ht="15.5" spans="1:31">
      <c r="A85" s="464"/>
      <c r="B85" s="643" t="s">
        <v>221</v>
      </c>
      <c r="C85" s="467">
        <v>408920.666666667</v>
      </c>
      <c r="D85" s="466">
        <v>12</v>
      </c>
      <c r="E85" s="467">
        <f t="shared" si="80"/>
        <v>4907048</v>
      </c>
      <c r="F85" s="467"/>
      <c r="G85" s="468">
        <v>296563.840000001</v>
      </c>
      <c r="H85" s="470"/>
      <c r="I85" s="467">
        <f t="shared" si="81"/>
        <v>4610484.16</v>
      </c>
      <c r="J85" s="467">
        <v>200000</v>
      </c>
      <c r="K85" s="467">
        <v>0.2</v>
      </c>
      <c r="L85" s="467">
        <f t="shared" si="82"/>
        <v>922096.832000001</v>
      </c>
      <c r="M85" s="467">
        <f t="shared" si="83"/>
        <v>1122096.832</v>
      </c>
      <c r="N85" s="467">
        <f t="shared" si="84"/>
        <v>1418660.672</v>
      </c>
      <c r="O85" s="467">
        <f t="shared" si="85"/>
        <v>3488387.328</v>
      </c>
      <c r="P85" s="467">
        <f t="shared" si="86"/>
        <v>21000</v>
      </c>
      <c r="Q85" s="467">
        <f t="shared" si="87"/>
        <v>33000</v>
      </c>
      <c r="R85" s="467">
        <f t="shared" si="88"/>
        <v>75000</v>
      </c>
      <c r="S85" s="467">
        <f t="shared" si="89"/>
        <v>95000</v>
      </c>
      <c r="T85" s="467">
        <f t="shared" si="90"/>
        <v>336000</v>
      </c>
      <c r="U85" s="467">
        <f t="shared" si="91"/>
        <v>69212.9587200005</v>
      </c>
      <c r="V85" s="467">
        <f t="shared" si="92"/>
        <v>629212.95872</v>
      </c>
      <c r="W85" s="474">
        <v>12</v>
      </c>
      <c r="X85" s="467">
        <f t="shared" si="93"/>
        <v>52434.4132266667</v>
      </c>
      <c r="Y85" s="470"/>
      <c r="Z85" s="929">
        <f t="shared" si="94"/>
        <v>52434.4132266667</v>
      </c>
      <c r="AA85" s="467">
        <v>39613.1357066667</v>
      </c>
      <c r="AB85" s="806">
        <f t="shared" si="95"/>
        <v>12821.27752</v>
      </c>
      <c r="AC85" s="479"/>
      <c r="AD85" s="479"/>
      <c r="AE85" s="479"/>
    </row>
    <row r="86" ht="15" spans="1:31">
      <c r="A86" s="464"/>
      <c r="B86" s="864"/>
      <c r="C86" s="467"/>
      <c r="D86" s="466"/>
      <c r="E86" s="467"/>
      <c r="F86" s="467"/>
      <c r="G86" s="470"/>
      <c r="H86" s="470"/>
      <c r="I86" s="467"/>
      <c r="J86" s="467"/>
      <c r="K86" s="467"/>
      <c r="L86" s="467"/>
      <c r="M86" s="467"/>
      <c r="N86" s="467"/>
      <c r="O86" s="467"/>
      <c r="P86" s="467"/>
      <c r="Q86" s="467"/>
      <c r="R86" s="467"/>
      <c r="S86" s="467"/>
      <c r="T86" s="467"/>
      <c r="U86" s="467"/>
      <c r="V86" s="467"/>
      <c r="W86" s="474"/>
      <c r="X86" s="467"/>
      <c r="Y86" s="470"/>
      <c r="Z86" s="929"/>
      <c r="AA86" s="806"/>
      <c r="AB86" s="806"/>
      <c r="AC86" s="479"/>
      <c r="AD86" s="479"/>
      <c r="AE86" s="479"/>
    </row>
    <row r="87" ht="15" spans="1:31">
      <c r="A87" s="464"/>
      <c r="B87" s="867"/>
      <c r="C87" s="467"/>
      <c r="D87" s="466"/>
      <c r="E87" s="467"/>
      <c r="F87" s="467"/>
      <c r="G87" s="470"/>
      <c r="H87" s="470"/>
      <c r="I87" s="467"/>
      <c r="J87" s="467"/>
      <c r="K87" s="467"/>
      <c r="L87" s="467"/>
      <c r="M87" s="467"/>
      <c r="N87" s="467"/>
      <c r="O87" s="467"/>
      <c r="P87" s="467"/>
      <c r="Q87" s="467"/>
      <c r="R87" s="467"/>
      <c r="S87" s="467"/>
      <c r="T87" s="467"/>
      <c r="U87" s="467"/>
      <c r="V87" s="467"/>
      <c r="W87" s="474"/>
      <c r="X87" s="467"/>
      <c r="Y87" s="470"/>
      <c r="Z87" s="929"/>
      <c r="AA87" s="806"/>
      <c r="AB87" s="806"/>
      <c r="AC87" s="479"/>
      <c r="AD87" s="479"/>
      <c r="AE87" s="479"/>
    </row>
    <row r="88" ht="15" spans="1:31">
      <c r="A88" s="464">
        <v>78</v>
      </c>
      <c r="B88" s="864" t="s">
        <v>224</v>
      </c>
      <c r="C88" s="467"/>
      <c r="AA88" s="281"/>
      <c r="AB88" s="806"/>
      <c r="AC88" s="479"/>
      <c r="AD88" s="479"/>
      <c r="AE88" s="479"/>
    </row>
    <row r="89" ht="15.5" spans="1:31">
      <c r="A89" s="464">
        <v>79</v>
      </c>
      <c r="B89" s="639" t="s">
        <v>225</v>
      </c>
      <c r="C89" s="467">
        <v>1797359.33333333</v>
      </c>
      <c r="D89" s="466">
        <v>12</v>
      </c>
      <c r="E89" s="467">
        <f t="shared" ref="E89:E93" si="96">C89*D89</f>
        <v>21568312</v>
      </c>
      <c r="F89" s="467">
        <v>316881.849999999</v>
      </c>
      <c r="G89" s="468">
        <v>1629464.95999999</v>
      </c>
      <c r="H89" s="470"/>
      <c r="I89" s="467">
        <f t="shared" ref="I89:I93" si="97">E89-F89-G89-H89</f>
        <v>19621965.19</v>
      </c>
      <c r="J89" s="467">
        <v>200000</v>
      </c>
      <c r="K89" s="467">
        <v>0.2</v>
      </c>
      <c r="L89" s="467">
        <f t="shared" ref="L89:L93" si="98">I89*K89</f>
        <v>3924393.03799999</v>
      </c>
      <c r="M89" s="467">
        <f t="shared" ref="M89:M93" si="99">J89+L89</f>
        <v>4124393.03799999</v>
      </c>
      <c r="N89" s="467">
        <f t="shared" ref="N89:N93" si="100">F89+G89+H89+M89</f>
        <v>6070739.84799998</v>
      </c>
      <c r="O89" s="467">
        <f t="shared" ref="O89:O93" si="101">E89-N89</f>
        <v>15497572.152</v>
      </c>
      <c r="P89" s="467">
        <f t="shared" ref="P89:P93" si="102">IF(O89&lt;300000,0.07*O89,21000)</f>
        <v>21000</v>
      </c>
      <c r="Q89" s="467">
        <f t="shared" ref="Q89:Q93" si="103">IF((O89-300000)&lt;0,0,IF((O89-300000)&lt;300000,0.11*(O89-300000),33000))</f>
        <v>33000</v>
      </c>
      <c r="R89" s="467">
        <f t="shared" ref="R89:R93" si="104">IF((O89-600000)&lt;0,0,IF((O89-600000)&lt;500000,0.15*(O89-600000),75000))</f>
        <v>75000</v>
      </c>
      <c r="S89" s="467">
        <f t="shared" ref="S89:S93" si="105">IF((O89-1100000)&lt;0,0,IF((O89-1100000)&lt;500000,0.19*(O89-1100000),95000))</f>
        <v>95000</v>
      </c>
      <c r="T89" s="467">
        <f t="shared" ref="T89:T93" si="106">IF((O89-1600000)&lt;0,0,IF((O89-1600000)&lt;1600000,0.21*(O89-1600000),336000))</f>
        <v>336000</v>
      </c>
      <c r="U89" s="467">
        <f t="shared" ref="U89:U93" si="107">24%*(O89-3200000)</f>
        <v>2951417.31647999</v>
      </c>
      <c r="V89" s="467">
        <f t="shared" ref="V89:V93" si="108">P89+Q89+R89+S89+T89+U89</f>
        <v>3511417.31647999</v>
      </c>
      <c r="W89" s="474">
        <v>12</v>
      </c>
      <c r="X89" s="467">
        <f t="shared" ref="X89:X93" si="109">V89/W89</f>
        <v>292618.109706666</v>
      </c>
      <c r="Y89" s="470"/>
      <c r="Z89" s="929">
        <f t="shared" ref="Z89:Z93" si="110">X89</f>
        <v>292618.109706666</v>
      </c>
      <c r="AA89" s="806">
        <v>236486.748679467</v>
      </c>
      <c r="AB89" s="806">
        <f t="shared" ref="AB89:AB93" si="111">Z89-AA89</f>
        <v>56131.3610271992</v>
      </c>
      <c r="AC89" s="479"/>
      <c r="AD89" s="479"/>
      <c r="AE89" s="479"/>
    </row>
    <row r="90" ht="15.5" spans="1:31">
      <c r="A90" s="464">
        <v>80</v>
      </c>
      <c r="B90" s="643" t="s">
        <v>227</v>
      </c>
      <c r="C90" s="467">
        <v>643911.083333334</v>
      </c>
      <c r="D90" s="466">
        <v>12</v>
      </c>
      <c r="E90" s="467">
        <f t="shared" si="96"/>
        <v>7726933.00000001</v>
      </c>
      <c r="F90" s="467"/>
      <c r="G90" s="468">
        <v>550954.64</v>
      </c>
      <c r="H90" s="470"/>
      <c r="I90" s="467">
        <f t="shared" si="97"/>
        <v>7175978.36000001</v>
      </c>
      <c r="J90" s="467">
        <v>200000</v>
      </c>
      <c r="K90" s="467">
        <v>0.2</v>
      </c>
      <c r="L90" s="467">
        <f t="shared" si="98"/>
        <v>1435195.672</v>
      </c>
      <c r="M90" s="467">
        <f t="shared" si="99"/>
        <v>1635195.672</v>
      </c>
      <c r="N90" s="467">
        <f t="shared" si="100"/>
        <v>2186150.312</v>
      </c>
      <c r="O90" s="467">
        <f t="shared" si="101"/>
        <v>5540782.68800001</v>
      </c>
      <c r="P90" s="467">
        <f t="shared" si="102"/>
        <v>21000</v>
      </c>
      <c r="Q90" s="467">
        <f t="shared" si="103"/>
        <v>33000</v>
      </c>
      <c r="R90" s="467">
        <f t="shared" si="104"/>
        <v>75000</v>
      </c>
      <c r="S90" s="467">
        <f t="shared" si="105"/>
        <v>95000</v>
      </c>
      <c r="T90" s="467">
        <f t="shared" si="106"/>
        <v>336000</v>
      </c>
      <c r="U90" s="467">
        <f t="shared" si="107"/>
        <v>561787.845120001</v>
      </c>
      <c r="V90" s="467">
        <f t="shared" si="108"/>
        <v>1121787.84512</v>
      </c>
      <c r="W90" s="474">
        <v>12</v>
      </c>
      <c r="X90" s="467">
        <f t="shared" si="109"/>
        <v>93482.3204266668</v>
      </c>
      <c r="Y90" s="470"/>
      <c r="Z90" s="929">
        <f t="shared" si="110"/>
        <v>93482.3204266668</v>
      </c>
      <c r="AA90" s="806">
        <v>72764.4209066667</v>
      </c>
      <c r="AB90" s="806">
        <f t="shared" si="111"/>
        <v>20717.8995200001</v>
      </c>
      <c r="AC90" s="479"/>
      <c r="AD90" s="479"/>
      <c r="AE90" s="479"/>
    </row>
    <row r="91" ht="15.5" spans="1:31">
      <c r="A91" s="464">
        <v>81</v>
      </c>
      <c r="B91" s="643" t="s">
        <v>229</v>
      </c>
      <c r="C91" s="467">
        <v>567472.75</v>
      </c>
      <c r="D91" s="466">
        <v>12</v>
      </c>
      <c r="E91" s="467">
        <f t="shared" si="96"/>
        <v>6809673</v>
      </c>
      <c r="F91" s="467">
        <v>93501.975</v>
      </c>
      <c r="G91" s="468">
        <v>477573.84</v>
      </c>
      <c r="H91" s="470"/>
      <c r="I91" s="467">
        <f t="shared" si="97"/>
        <v>6238597.185</v>
      </c>
      <c r="J91" s="467">
        <v>200000</v>
      </c>
      <c r="K91" s="467">
        <v>0.2</v>
      </c>
      <c r="L91" s="467">
        <f t="shared" si="98"/>
        <v>1247719.437</v>
      </c>
      <c r="M91" s="467">
        <f t="shared" si="99"/>
        <v>1447719.437</v>
      </c>
      <c r="N91" s="467">
        <f t="shared" si="100"/>
        <v>2018795.252</v>
      </c>
      <c r="O91" s="467">
        <f t="shared" si="101"/>
        <v>4790877.748</v>
      </c>
      <c r="P91" s="467">
        <f t="shared" si="102"/>
        <v>21000</v>
      </c>
      <c r="Q91" s="467">
        <f t="shared" si="103"/>
        <v>33000</v>
      </c>
      <c r="R91" s="467">
        <f t="shared" si="104"/>
        <v>75000</v>
      </c>
      <c r="S91" s="467">
        <f t="shared" si="105"/>
        <v>95000</v>
      </c>
      <c r="T91" s="467">
        <f t="shared" si="106"/>
        <v>336000</v>
      </c>
      <c r="U91" s="467">
        <f t="shared" si="107"/>
        <v>381810.65952</v>
      </c>
      <c r="V91" s="467">
        <f t="shared" si="108"/>
        <v>941810.65952</v>
      </c>
      <c r="W91" s="474">
        <v>12</v>
      </c>
      <c r="X91" s="467">
        <f t="shared" si="109"/>
        <v>78484.2216266667</v>
      </c>
      <c r="Y91" s="470"/>
      <c r="Z91" s="929">
        <f t="shared" si="110"/>
        <v>78484.2216266667</v>
      </c>
      <c r="AA91" s="806">
        <v>59711.1152554667</v>
      </c>
      <c r="AB91" s="806">
        <f t="shared" si="111"/>
        <v>18773.1063712</v>
      </c>
      <c r="AC91" s="479"/>
      <c r="AD91" s="479"/>
      <c r="AE91" s="479"/>
    </row>
    <row r="92" ht="15.5" spans="1:31">
      <c r="A92" s="464"/>
      <c r="B92" s="643" t="s">
        <v>233</v>
      </c>
      <c r="C92" s="467">
        <v>542662.666666667</v>
      </c>
      <c r="D92" s="466">
        <v>12</v>
      </c>
      <c r="E92" s="467">
        <f t="shared" si="96"/>
        <v>6511952</v>
      </c>
      <c r="F92" s="467"/>
      <c r="G92" s="468">
        <v>463356.160000001</v>
      </c>
      <c r="H92" s="470"/>
      <c r="I92" s="467">
        <f t="shared" si="97"/>
        <v>6048595.84</v>
      </c>
      <c r="J92" s="467">
        <v>200000</v>
      </c>
      <c r="K92" s="467">
        <v>0.2</v>
      </c>
      <c r="L92" s="467">
        <f t="shared" si="98"/>
        <v>1209719.168</v>
      </c>
      <c r="M92" s="467">
        <f t="shared" si="99"/>
        <v>1409719.168</v>
      </c>
      <c r="N92" s="467">
        <f t="shared" si="100"/>
        <v>1873075.328</v>
      </c>
      <c r="O92" s="467">
        <f t="shared" si="101"/>
        <v>4638876.672</v>
      </c>
      <c r="P92" s="467">
        <f t="shared" si="102"/>
        <v>21000</v>
      </c>
      <c r="Q92" s="467">
        <f t="shared" si="103"/>
        <v>33000</v>
      </c>
      <c r="R92" s="467">
        <f t="shared" si="104"/>
        <v>75000</v>
      </c>
      <c r="S92" s="467">
        <f t="shared" si="105"/>
        <v>95000</v>
      </c>
      <c r="T92" s="467">
        <f t="shared" si="106"/>
        <v>336000</v>
      </c>
      <c r="U92" s="467">
        <f t="shared" si="107"/>
        <v>345330.401280001</v>
      </c>
      <c r="V92" s="467">
        <f t="shared" si="108"/>
        <v>905330.401280001</v>
      </c>
      <c r="W92" s="474">
        <v>12</v>
      </c>
      <c r="X92" s="467">
        <f t="shared" si="109"/>
        <v>75444.2001066667</v>
      </c>
      <c r="Y92" s="470"/>
      <c r="Z92" s="929">
        <f t="shared" si="110"/>
        <v>75444.2001066667</v>
      </c>
      <c r="AA92" s="806">
        <v>56938.0689066667</v>
      </c>
      <c r="AB92" s="806">
        <f t="shared" si="111"/>
        <v>18506.1312</v>
      </c>
      <c r="AC92" s="479"/>
      <c r="AD92" s="479"/>
      <c r="AE92" s="479"/>
    </row>
    <row r="93" ht="15.5" spans="1:31">
      <c r="A93" s="464"/>
      <c r="B93" s="643" t="s">
        <v>234</v>
      </c>
      <c r="C93" s="467">
        <v>450135.833333334</v>
      </c>
      <c r="D93" s="466">
        <v>12</v>
      </c>
      <c r="E93" s="467">
        <f t="shared" si="96"/>
        <v>5401630.00000001</v>
      </c>
      <c r="F93" s="467"/>
      <c r="G93" s="468">
        <v>374530.4</v>
      </c>
      <c r="H93" s="470"/>
      <c r="I93" s="467">
        <f t="shared" si="97"/>
        <v>5027099.60000001</v>
      </c>
      <c r="J93" s="467">
        <v>200000</v>
      </c>
      <c r="K93" s="467">
        <v>0.2</v>
      </c>
      <c r="L93" s="467">
        <f t="shared" si="98"/>
        <v>1005419.92</v>
      </c>
      <c r="M93" s="467">
        <f t="shared" si="99"/>
        <v>1205419.92</v>
      </c>
      <c r="N93" s="467">
        <f t="shared" si="100"/>
        <v>1579950.32</v>
      </c>
      <c r="O93" s="467">
        <f t="shared" si="101"/>
        <v>3821679.68000001</v>
      </c>
      <c r="P93" s="467">
        <f t="shared" si="102"/>
        <v>21000</v>
      </c>
      <c r="Q93" s="467">
        <f t="shared" si="103"/>
        <v>33000</v>
      </c>
      <c r="R93" s="467">
        <f t="shared" si="104"/>
        <v>75000</v>
      </c>
      <c r="S93" s="467">
        <f t="shared" si="105"/>
        <v>95000</v>
      </c>
      <c r="T93" s="467">
        <f t="shared" si="106"/>
        <v>336000</v>
      </c>
      <c r="U93" s="467">
        <f t="shared" si="107"/>
        <v>149203.123200002</v>
      </c>
      <c r="V93" s="467">
        <f t="shared" si="108"/>
        <v>709203.123200002</v>
      </c>
      <c r="W93" s="474">
        <v>12</v>
      </c>
      <c r="X93" s="467">
        <f t="shared" si="109"/>
        <v>59100.2602666668</v>
      </c>
      <c r="Y93" s="470"/>
      <c r="Z93" s="929">
        <f t="shared" si="110"/>
        <v>59100.2602666668</v>
      </c>
      <c r="AA93" s="806">
        <v>43763.9072266667</v>
      </c>
      <c r="AB93" s="806">
        <f t="shared" si="111"/>
        <v>15336.3530400001</v>
      </c>
      <c r="AC93" s="479"/>
      <c r="AD93" s="479"/>
      <c r="AE93" s="479"/>
    </row>
    <row r="94" ht="15" spans="1:31">
      <c r="A94" s="464">
        <v>83</v>
      </c>
      <c r="B94" s="867"/>
      <c r="C94" s="467"/>
      <c r="AA94" s="281"/>
      <c r="AB94" s="806"/>
      <c r="AC94" s="479"/>
      <c r="AD94" s="479"/>
      <c r="AE94" s="479"/>
    </row>
    <row r="95" ht="15" spans="1:31">
      <c r="A95" s="464">
        <v>84</v>
      </c>
      <c r="B95" s="864" t="s">
        <v>237</v>
      </c>
      <c r="C95" s="467"/>
      <c r="AA95" s="281"/>
      <c r="AB95" s="806"/>
      <c r="AC95" s="479"/>
      <c r="AD95" s="479"/>
      <c r="AE95" s="479"/>
    </row>
    <row r="96" ht="15.5" spans="1:31">
      <c r="A96" s="464">
        <v>85</v>
      </c>
      <c r="B96" s="643" t="s">
        <v>556</v>
      </c>
      <c r="C96" s="467">
        <v>1947106.41666666</v>
      </c>
      <c r="D96" s="466">
        <v>12</v>
      </c>
      <c r="E96" s="467">
        <f t="shared" ref="E96:E102" si="112">C96*D96</f>
        <v>23365276.9999999</v>
      </c>
      <c r="F96" s="467"/>
      <c r="G96" s="468">
        <v>1677222.16</v>
      </c>
      <c r="H96" s="470"/>
      <c r="I96" s="467">
        <f t="shared" ref="I96:I102" si="113">E96-F96-G96-H96</f>
        <v>21688054.8399999</v>
      </c>
      <c r="J96" s="467">
        <v>200000</v>
      </c>
      <c r="K96" s="467">
        <v>0.2</v>
      </c>
      <c r="L96" s="467">
        <f t="shared" ref="L96:L102" si="114">I96*K96</f>
        <v>4337610.96799998</v>
      </c>
      <c r="M96" s="467">
        <f t="shared" ref="M96:M102" si="115">J96+L96</f>
        <v>4537610.96799998</v>
      </c>
      <c r="N96" s="467">
        <f t="shared" ref="N96:N102" si="116">F96+G96+H96+M96</f>
        <v>6214833.12799998</v>
      </c>
      <c r="O96" s="467">
        <f t="shared" ref="O96:O102" si="117">E96-N96</f>
        <v>17150443.8719999</v>
      </c>
      <c r="P96" s="467">
        <f t="shared" ref="P96:P102" si="118">IF(O96&lt;300000,0.07*O96,21000)</f>
        <v>21000</v>
      </c>
      <c r="Q96" s="467">
        <f t="shared" ref="Q96:Q102" si="119">IF((O96-300000)&lt;0,0,IF((O96-300000)&lt;300000,0.11*(O96-300000),33000))</f>
        <v>33000</v>
      </c>
      <c r="R96" s="467">
        <f t="shared" ref="R96:R102" si="120">IF((O96-600000)&lt;0,0,IF((O96-600000)&lt;500000,0.15*(O96-600000),75000))</f>
        <v>75000</v>
      </c>
      <c r="S96" s="467">
        <f t="shared" ref="S96:S102" si="121">IF((O96-1100000)&lt;0,0,IF((O96-1100000)&lt;500000,0.19*(O96-1100000),95000))</f>
        <v>95000</v>
      </c>
      <c r="T96" s="467">
        <f t="shared" ref="T96:T102" si="122">IF((O96-1600000)&lt;0,0,IF((O96-1600000)&lt;1600000,0.21*(O96-1600000),336000))</f>
        <v>336000</v>
      </c>
      <c r="U96" s="467">
        <f t="shared" ref="U96:U98" si="123">24%*(O96-3200000)</f>
        <v>3348106.52927998</v>
      </c>
      <c r="V96" s="467">
        <f t="shared" ref="V96:V102" si="124">P96+Q96+R96+S96+T96+U96</f>
        <v>3908106.52927998</v>
      </c>
      <c r="W96" s="474">
        <v>12</v>
      </c>
      <c r="X96" s="467">
        <f t="shared" ref="X96:X102" si="125">V96/W96</f>
        <v>325675.544106665</v>
      </c>
      <c r="Y96" s="470"/>
      <c r="Z96" s="929">
        <f t="shared" ref="Z96:Z102" si="126">X96</f>
        <v>325675.544106665</v>
      </c>
      <c r="AA96" s="806">
        <v>270672.247466667</v>
      </c>
      <c r="AB96" s="806">
        <f t="shared" ref="AB96:AB102" si="127">Z96-AA96</f>
        <v>55003.2966399984</v>
      </c>
      <c r="AC96" s="479"/>
      <c r="AD96" s="479"/>
      <c r="AE96" s="479"/>
    </row>
    <row r="97" ht="15.5" spans="1:31">
      <c r="A97" s="464">
        <v>86</v>
      </c>
      <c r="B97" s="643" t="s">
        <v>240</v>
      </c>
      <c r="C97" s="467">
        <v>1085306.75</v>
      </c>
      <c r="D97" s="466">
        <v>12</v>
      </c>
      <c r="E97" s="467">
        <f t="shared" si="112"/>
        <v>13023681</v>
      </c>
      <c r="F97" s="467">
        <v>166400.85</v>
      </c>
      <c r="G97" s="468">
        <v>869094.48</v>
      </c>
      <c r="H97" s="470"/>
      <c r="I97" s="467">
        <f t="shared" si="113"/>
        <v>11988185.67</v>
      </c>
      <c r="J97" s="467">
        <v>200000</v>
      </c>
      <c r="K97" s="467">
        <v>0.2</v>
      </c>
      <c r="L97" s="467">
        <f t="shared" si="114"/>
        <v>2397637.134</v>
      </c>
      <c r="M97" s="467">
        <f t="shared" si="115"/>
        <v>2597637.134</v>
      </c>
      <c r="N97" s="467">
        <f t="shared" si="116"/>
        <v>3633132.464</v>
      </c>
      <c r="O97" s="467">
        <f t="shared" si="117"/>
        <v>9390548.536</v>
      </c>
      <c r="P97" s="467">
        <f t="shared" si="118"/>
        <v>21000</v>
      </c>
      <c r="Q97" s="467">
        <f t="shared" si="119"/>
        <v>33000</v>
      </c>
      <c r="R97" s="467">
        <f t="shared" si="120"/>
        <v>75000</v>
      </c>
      <c r="S97" s="467">
        <f t="shared" si="121"/>
        <v>95000</v>
      </c>
      <c r="T97" s="467">
        <f t="shared" si="122"/>
        <v>336000</v>
      </c>
      <c r="U97" s="467">
        <f t="shared" si="123"/>
        <v>1485731.64864</v>
      </c>
      <c r="V97" s="467">
        <f t="shared" si="124"/>
        <v>2045731.64864</v>
      </c>
      <c r="W97" s="474">
        <v>12</v>
      </c>
      <c r="X97" s="467">
        <f t="shared" si="125"/>
        <v>170477.637386667</v>
      </c>
      <c r="Y97" s="470"/>
      <c r="Z97" s="929">
        <f t="shared" si="126"/>
        <v>170477.637386667</v>
      </c>
      <c r="AA97" s="806">
        <v>147687.527610667</v>
      </c>
      <c r="AB97" s="806">
        <f t="shared" si="127"/>
        <v>22790.1097759997</v>
      </c>
      <c r="AC97" s="479"/>
      <c r="AD97" s="479"/>
      <c r="AE97" s="479"/>
    </row>
    <row r="98" ht="15.5" spans="1:31">
      <c r="A98" s="464">
        <v>87</v>
      </c>
      <c r="B98" s="643" t="s">
        <v>242</v>
      </c>
      <c r="C98" s="467">
        <v>702784.271858333</v>
      </c>
      <c r="D98" s="466">
        <v>12</v>
      </c>
      <c r="E98" s="467">
        <f t="shared" si="112"/>
        <v>8433411.2623</v>
      </c>
      <c r="F98" s="467">
        <v>101319.25</v>
      </c>
      <c r="G98" s="468">
        <v>519697.279999999</v>
      </c>
      <c r="H98" s="470"/>
      <c r="I98" s="467">
        <f t="shared" si="113"/>
        <v>7812394.7323</v>
      </c>
      <c r="J98" s="467">
        <v>200000</v>
      </c>
      <c r="K98" s="467">
        <v>0.2</v>
      </c>
      <c r="L98" s="467">
        <f t="shared" si="114"/>
        <v>1562478.94646</v>
      </c>
      <c r="M98" s="467">
        <f t="shared" si="115"/>
        <v>1762478.94646</v>
      </c>
      <c r="N98" s="467">
        <f t="shared" si="116"/>
        <v>2383495.47646</v>
      </c>
      <c r="O98" s="467">
        <f t="shared" si="117"/>
        <v>6049915.78584</v>
      </c>
      <c r="P98" s="467">
        <f t="shared" si="118"/>
        <v>21000</v>
      </c>
      <c r="Q98" s="467">
        <f t="shared" si="119"/>
        <v>33000</v>
      </c>
      <c r="R98" s="467">
        <f t="shared" si="120"/>
        <v>75000</v>
      </c>
      <c r="S98" s="467">
        <f t="shared" si="121"/>
        <v>95000</v>
      </c>
      <c r="T98" s="467">
        <f t="shared" si="122"/>
        <v>336000</v>
      </c>
      <c r="U98" s="467">
        <f t="shared" si="123"/>
        <v>683979.788601599</v>
      </c>
      <c r="V98" s="467">
        <f t="shared" si="124"/>
        <v>1243979.7886016</v>
      </c>
      <c r="W98" s="474">
        <v>12</v>
      </c>
      <c r="X98" s="467">
        <f t="shared" si="125"/>
        <v>103664.982383467</v>
      </c>
      <c r="Y98" s="470"/>
      <c r="Z98" s="929">
        <f t="shared" si="126"/>
        <v>103664.982383467</v>
      </c>
      <c r="AA98" s="806">
        <v>87575.7827034667</v>
      </c>
      <c r="AB98" s="806">
        <f t="shared" si="127"/>
        <v>16089.1996799999</v>
      </c>
      <c r="AC98" s="479"/>
      <c r="AD98" s="479"/>
      <c r="AE98" s="479"/>
    </row>
    <row r="99" ht="15.5" spans="1:31">
      <c r="A99" s="464">
        <v>88</v>
      </c>
      <c r="B99" s="643" t="s">
        <v>244</v>
      </c>
      <c r="C99" s="467">
        <v>701171.449988333</v>
      </c>
      <c r="D99" s="466">
        <v>12</v>
      </c>
      <c r="E99" s="467">
        <f t="shared" si="112"/>
        <v>8414057.39986</v>
      </c>
      <c r="F99" s="467"/>
      <c r="G99" s="468">
        <v>519697.279999999</v>
      </c>
      <c r="H99" s="470"/>
      <c r="I99" s="467">
        <f t="shared" si="113"/>
        <v>7894360.11986</v>
      </c>
      <c r="J99" s="467">
        <v>200000</v>
      </c>
      <c r="K99" s="467">
        <v>0.2</v>
      </c>
      <c r="L99" s="467">
        <f t="shared" si="114"/>
        <v>1578872.023972</v>
      </c>
      <c r="M99" s="467">
        <f t="shared" si="115"/>
        <v>1778872.023972</v>
      </c>
      <c r="N99" s="467">
        <f t="shared" si="116"/>
        <v>2298569.303972</v>
      </c>
      <c r="O99" s="467">
        <f t="shared" si="117"/>
        <v>6115488.095888</v>
      </c>
      <c r="P99" s="467">
        <f t="shared" si="118"/>
        <v>21000</v>
      </c>
      <c r="Q99" s="467">
        <f t="shared" si="119"/>
        <v>33000</v>
      </c>
      <c r="R99" s="467">
        <f t="shared" si="120"/>
        <v>75000</v>
      </c>
      <c r="S99" s="467">
        <f t="shared" si="121"/>
        <v>95000</v>
      </c>
      <c r="T99" s="467">
        <f t="shared" si="122"/>
        <v>336000</v>
      </c>
      <c r="U99" s="467">
        <f t="shared" ref="U99:U102" si="128">0.24*(O99-3200000)</f>
        <v>699717.143013119</v>
      </c>
      <c r="V99" s="467">
        <f t="shared" si="124"/>
        <v>1259717.14301312</v>
      </c>
      <c r="W99" s="474">
        <v>12</v>
      </c>
      <c r="X99" s="467">
        <f t="shared" si="125"/>
        <v>104976.428584427</v>
      </c>
      <c r="Y99" s="470"/>
      <c r="Z99" s="929">
        <f t="shared" si="126"/>
        <v>104976.428584427</v>
      </c>
      <c r="AA99" s="806">
        <v>87392.5495444267</v>
      </c>
      <c r="AB99" s="806">
        <f t="shared" si="127"/>
        <v>17583.8790399999</v>
      </c>
      <c r="AC99" s="479"/>
      <c r="AD99" s="479"/>
      <c r="AE99" s="479"/>
    </row>
    <row r="100" ht="15.5" spans="1:31">
      <c r="A100" s="464">
        <v>89</v>
      </c>
      <c r="B100" s="643" t="s">
        <v>247</v>
      </c>
      <c r="C100" s="467">
        <v>455283.864146667</v>
      </c>
      <c r="D100" s="466">
        <v>12</v>
      </c>
      <c r="E100" s="467">
        <f t="shared" si="112"/>
        <v>5463406.36976</v>
      </c>
      <c r="F100" s="467"/>
      <c r="G100" s="468">
        <v>316752.400000001</v>
      </c>
      <c r="H100" s="470"/>
      <c r="I100" s="467">
        <f t="shared" si="113"/>
        <v>5146653.96976</v>
      </c>
      <c r="J100" s="467">
        <v>200000</v>
      </c>
      <c r="K100" s="467">
        <v>0.2</v>
      </c>
      <c r="L100" s="467">
        <f t="shared" si="114"/>
        <v>1029330.793952</v>
      </c>
      <c r="M100" s="467">
        <f t="shared" si="115"/>
        <v>1229330.793952</v>
      </c>
      <c r="N100" s="467">
        <f t="shared" si="116"/>
        <v>1546083.193952</v>
      </c>
      <c r="O100" s="467">
        <f t="shared" si="117"/>
        <v>3917323.175808</v>
      </c>
      <c r="P100" s="467">
        <f t="shared" si="118"/>
        <v>21000</v>
      </c>
      <c r="Q100" s="467">
        <f t="shared" si="119"/>
        <v>33000</v>
      </c>
      <c r="R100" s="467">
        <f t="shared" si="120"/>
        <v>75000</v>
      </c>
      <c r="S100" s="467">
        <f t="shared" si="121"/>
        <v>95000</v>
      </c>
      <c r="T100" s="467">
        <f t="shared" si="122"/>
        <v>336000</v>
      </c>
      <c r="U100" s="467">
        <f t="shared" si="128"/>
        <v>172157.562193921</v>
      </c>
      <c r="V100" s="467">
        <f t="shared" si="124"/>
        <v>732157.562193921</v>
      </c>
      <c r="W100" s="474">
        <v>12</v>
      </c>
      <c r="X100" s="467">
        <f t="shared" si="125"/>
        <v>61013.1301828267</v>
      </c>
      <c r="Y100" s="470"/>
      <c r="Z100" s="929">
        <f t="shared" si="126"/>
        <v>61013.1301828267</v>
      </c>
      <c r="AA100" s="806">
        <v>46740.2649028267</v>
      </c>
      <c r="AB100" s="806">
        <f t="shared" si="127"/>
        <v>14272.86528</v>
      </c>
      <c r="AC100" s="479"/>
      <c r="AD100" s="479"/>
      <c r="AE100" s="479"/>
    </row>
    <row r="101" ht="31" spans="1:31">
      <c r="A101" s="464"/>
      <c r="B101" s="351" t="s">
        <v>250</v>
      </c>
      <c r="C101" s="467">
        <v>466741.530813333</v>
      </c>
      <c r="D101" s="466">
        <v>12</v>
      </c>
      <c r="E101" s="467">
        <f t="shared" si="112"/>
        <v>5600898.36976</v>
      </c>
      <c r="F101" s="467"/>
      <c r="G101" s="468">
        <v>317190.799999999</v>
      </c>
      <c r="H101" s="470"/>
      <c r="I101" s="467">
        <f t="shared" si="113"/>
        <v>5283707.56976</v>
      </c>
      <c r="J101" s="467">
        <v>200000</v>
      </c>
      <c r="K101" s="467">
        <v>0.2</v>
      </c>
      <c r="L101" s="467">
        <f t="shared" si="114"/>
        <v>1056741.513952</v>
      </c>
      <c r="M101" s="467">
        <f t="shared" si="115"/>
        <v>1256741.513952</v>
      </c>
      <c r="N101" s="467">
        <f t="shared" si="116"/>
        <v>1573932.313952</v>
      </c>
      <c r="O101" s="467">
        <f t="shared" si="117"/>
        <v>4026966.055808</v>
      </c>
      <c r="P101" s="467">
        <f t="shared" si="118"/>
        <v>21000</v>
      </c>
      <c r="Q101" s="467">
        <f t="shared" si="119"/>
        <v>33000</v>
      </c>
      <c r="R101" s="467">
        <f t="shared" si="120"/>
        <v>75000</v>
      </c>
      <c r="S101" s="467">
        <f t="shared" si="121"/>
        <v>95000</v>
      </c>
      <c r="T101" s="467">
        <f t="shared" si="122"/>
        <v>336000</v>
      </c>
      <c r="U101" s="467">
        <f t="shared" si="128"/>
        <v>198471.853393919</v>
      </c>
      <c r="V101" s="467">
        <f t="shared" si="124"/>
        <v>758471.853393919</v>
      </c>
      <c r="W101" s="474">
        <v>12</v>
      </c>
      <c r="X101" s="467">
        <f t="shared" si="125"/>
        <v>63205.9877828266</v>
      </c>
      <c r="Y101" s="470"/>
      <c r="Z101" s="929">
        <f t="shared" si="126"/>
        <v>63205.9877828266</v>
      </c>
      <c r="AA101" s="806">
        <v>87883.38</v>
      </c>
      <c r="AB101" s="806">
        <f t="shared" si="127"/>
        <v>-24677.3922171734</v>
      </c>
      <c r="AC101" s="479"/>
      <c r="AD101" s="479"/>
      <c r="AE101" s="479"/>
    </row>
    <row r="102" ht="15.5" spans="1:31">
      <c r="A102" s="464"/>
      <c r="B102" s="351" t="s">
        <v>251</v>
      </c>
      <c r="C102" s="467">
        <v>433486.862111667</v>
      </c>
      <c r="D102" s="466">
        <v>12</v>
      </c>
      <c r="E102" s="467">
        <f t="shared" si="112"/>
        <v>5201842.34534</v>
      </c>
      <c r="G102" s="468">
        <v>296563.840000001</v>
      </c>
      <c r="H102" s="470"/>
      <c r="I102" s="467">
        <f t="shared" si="113"/>
        <v>4905278.50534</v>
      </c>
      <c r="J102" s="467">
        <v>200000</v>
      </c>
      <c r="K102" s="467">
        <v>0.2</v>
      </c>
      <c r="L102" s="467">
        <f t="shared" si="114"/>
        <v>981055.701068001</v>
      </c>
      <c r="M102" s="467">
        <f t="shared" si="115"/>
        <v>1181055.701068</v>
      </c>
      <c r="N102" s="467">
        <f t="shared" si="116"/>
        <v>1477619.541068</v>
      </c>
      <c r="O102" s="467">
        <f t="shared" si="117"/>
        <v>3724222.804272</v>
      </c>
      <c r="P102" s="467">
        <f t="shared" si="118"/>
        <v>21000</v>
      </c>
      <c r="Q102" s="467">
        <f t="shared" si="119"/>
        <v>33000</v>
      </c>
      <c r="R102" s="467">
        <f t="shared" si="120"/>
        <v>75000</v>
      </c>
      <c r="S102" s="467">
        <f t="shared" si="121"/>
        <v>95000</v>
      </c>
      <c r="T102" s="467">
        <f t="shared" si="122"/>
        <v>336000</v>
      </c>
      <c r="U102" s="467">
        <f t="shared" si="128"/>
        <v>125813.473025281</v>
      </c>
      <c r="V102" s="467">
        <f t="shared" si="124"/>
        <v>685813.473025281</v>
      </c>
      <c r="W102" s="474">
        <v>12</v>
      </c>
      <c r="X102" s="467">
        <f t="shared" si="125"/>
        <v>57151.1227521067</v>
      </c>
      <c r="Y102" s="470"/>
      <c r="Z102" s="929">
        <f t="shared" si="126"/>
        <v>57151.1227521067</v>
      </c>
      <c r="AA102" s="806">
        <v>43740.2565414267</v>
      </c>
      <c r="AB102" s="806">
        <f t="shared" si="127"/>
        <v>13410.86621068</v>
      </c>
      <c r="AC102" s="479"/>
      <c r="AD102" s="479"/>
      <c r="AE102" s="479"/>
    </row>
    <row r="103" ht="15" spans="1:31">
      <c r="A103" s="464">
        <v>90</v>
      </c>
      <c r="B103" s="864"/>
      <c r="C103" s="467"/>
      <c r="G103" s="468"/>
      <c r="U103" s="467"/>
      <c r="AA103" s="281"/>
      <c r="AB103" s="806"/>
      <c r="AC103" s="479"/>
      <c r="AD103" s="479"/>
      <c r="AE103" s="479"/>
    </row>
    <row r="104" ht="15" spans="1:31">
      <c r="A104" s="464">
        <v>91</v>
      </c>
      <c r="B104" s="864" t="s">
        <v>255</v>
      </c>
      <c r="C104" s="467"/>
      <c r="G104" s="468"/>
      <c r="U104" s="467"/>
      <c r="AA104" s="281"/>
      <c r="AB104" s="806"/>
      <c r="AC104" s="479"/>
      <c r="AD104" s="479"/>
      <c r="AE104" s="479"/>
    </row>
    <row r="105" ht="15.5" spans="1:31">
      <c r="A105" s="464">
        <v>92</v>
      </c>
      <c r="B105" s="643" t="s">
        <v>257</v>
      </c>
      <c r="C105" s="467">
        <v>592662.666666667</v>
      </c>
      <c r="D105" s="466">
        <v>12</v>
      </c>
      <c r="E105" s="467">
        <f t="shared" ref="E105:E107" si="129">C105*D105</f>
        <v>7111952</v>
      </c>
      <c r="F105" s="467"/>
      <c r="G105" s="468">
        <v>463356.160000001</v>
      </c>
      <c r="H105" s="470"/>
      <c r="I105" s="467">
        <f t="shared" ref="I105:I107" si="130">E105-F105-G105-H105</f>
        <v>6648595.84</v>
      </c>
      <c r="J105" s="467">
        <v>200000</v>
      </c>
      <c r="K105" s="467">
        <v>0.2</v>
      </c>
      <c r="L105" s="467">
        <f t="shared" ref="L105:L107" si="131">I105*K105</f>
        <v>1329719.168</v>
      </c>
      <c r="M105" s="467">
        <f t="shared" ref="M105:M107" si="132">J105+L105</f>
        <v>1529719.168</v>
      </c>
      <c r="N105" s="467">
        <f t="shared" ref="N105:N107" si="133">F105+G105+H105+M105</f>
        <v>1993075.328</v>
      </c>
      <c r="O105" s="467">
        <f t="shared" ref="O105:O107" si="134">E105-N105</f>
        <v>5118876.672</v>
      </c>
      <c r="P105" s="467">
        <f t="shared" ref="P105:P107" si="135">IF(O105&lt;300000,0.07*O105,21000)</f>
        <v>21000</v>
      </c>
      <c r="Q105" s="467">
        <f t="shared" ref="Q105:Q107" si="136">IF((O105-300000)&lt;0,0,IF((O105-300000)&lt;300000,0.11*(O105-300000),33000))</f>
        <v>33000</v>
      </c>
      <c r="R105" s="467">
        <f t="shared" ref="R105:R107" si="137">IF((O105-600000)&lt;0,0,IF((O105-600000)&lt;500000,0.15*(O105-600000),75000))</f>
        <v>75000</v>
      </c>
      <c r="S105" s="467">
        <f t="shared" ref="S105:S107" si="138">IF((O105-1100000)&lt;0,0,IF((O105-1100000)&lt;500000,0.19*(O105-1100000),95000))</f>
        <v>95000</v>
      </c>
      <c r="T105" s="467">
        <f t="shared" ref="T105:T107" si="139">IF((O105-1600000)&lt;0,0,IF((O105-1600000)&lt;1600000,0.21*(O105-1600000),336000))</f>
        <v>336000</v>
      </c>
      <c r="U105" s="467">
        <f t="shared" ref="U105:U107" si="140">0.24*(O105-3200000)</f>
        <v>460530.401280001</v>
      </c>
      <c r="V105" s="467">
        <f t="shared" ref="V105:V107" si="141">P105+Q105+R105+S105+T105+U105</f>
        <v>1020530.40128</v>
      </c>
      <c r="W105" s="474">
        <v>12</v>
      </c>
      <c r="X105" s="467">
        <f t="shared" ref="X105:X107" si="142">V105/W105</f>
        <v>85044.2001066667</v>
      </c>
      <c r="Y105" s="470"/>
      <c r="Z105" s="929">
        <f t="shared" ref="Z105:Z107" si="143">X105</f>
        <v>85044.2001066667</v>
      </c>
      <c r="AA105" s="806">
        <v>66538.0689066667</v>
      </c>
      <c r="AB105" s="806">
        <f t="shared" ref="AB105:AB107" si="144">Z105-AA105</f>
        <v>18506.1312</v>
      </c>
      <c r="AC105" s="479"/>
      <c r="AD105" s="479"/>
      <c r="AE105" s="479"/>
    </row>
    <row r="106" ht="15.5" spans="1:31">
      <c r="A106" s="464">
        <v>93</v>
      </c>
      <c r="B106" s="643" t="s">
        <v>260</v>
      </c>
      <c r="C106" s="467">
        <v>578828.166666667</v>
      </c>
      <c r="D106" s="466">
        <v>12</v>
      </c>
      <c r="E106" s="467">
        <f t="shared" si="129"/>
        <v>6945938</v>
      </c>
      <c r="F106" s="467"/>
      <c r="G106" s="468">
        <v>450075.040000001</v>
      </c>
      <c r="H106" s="470"/>
      <c r="I106" s="467">
        <f t="shared" si="130"/>
        <v>6495862.96</v>
      </c>
      <c r="J106" s="467">
        <v>200000</v>
      </c>
      <c r="K106" s="467">
        <v>0.2</v>
      </c>
      <c r="L106" s="467">
        <f t="shared" si="131"/>
        <v>1299172.592</v>
      </c>
      <c r="M106" s="467">
        <f t="shared" si="132"/>
        <v>1499172.592</v>
      </c>
      <c r="N106" s="467">
        <f t="shared" si="133"/>
        <v>1949247.632</v>
      </c>
      <c r="O106" s="467">
        <f t="shared" si="134"/>
        <v>4996690.368</v>
      </c>
      <c r="P106" s="467">
        <f t="shared" si="135"/>
        <v>21000</v>
      </c>
      <c r="Q106" s="467">
        <f t="shared" si="136"/>
        <v>33000</v>
      </c>
      <c r="R106" s="467">
        <f t="shared" si="137"/>
        <v>75000</v>
      </c>
      <c r="S106" s="467">
        <f t="shared" si="138"/>
        <v>95000</v>
      </c>
      <c r="T106" s="467">
        <f t="shared" si="139"/>
        <v>336000</v>
      </c>
      <c r="U106" s="467">
        <f t="shared" si="140"/>
        <v>431205.688320001</v>
      </c>
      <c r="V106" s="467">
        <f t="shared" si="141"/>
        <v>991205.688320001</v>
      </c>
      <c r="W106" s="474">
        <v>12</v>
      </c>
      <c r="X106" s="467">
        <f t="shared" si="142"/>
        <v>82600.4740266667</v>
      </c>
      <c r="Y106" s="470"/>
      <c r="Z106" s="929">
        <f t="shared" si="143"/>
        <v>82600.4740266667</v>
      </c>
      <c r="AA106" s="806">
        <v>66538.0689066667</v>
      </c>
      <c r="AB106" s="806">
        <f t="shared" si="144"/>
        <v>16062.40512</v>
      </c>
      <c r="AC106" s="479"/>
      <c r="AD106" s="479"/>
      <c r="AE106" s="479"/>
    </row>
    <row r="107" ht="15.5" spans="1:31">
      <c r="A107" s="464">
        <v>94</v>
      </c>
      <c r="B107" s="643" t="s">
        <v>190</v>
      </c>
      <c r="C107" s="473">
        <v>552846.583333334</v>
      </c>
      <c r="D107" s="466">
        <v>12</v>
      </c>
      <c r="E107" s="467">
        <f t="shared" si="129"/>
        <v>6634159.00000001</v>
      </c>
      <c r="F107" s="467">
        <v>90896.2250000001</v>
      </c>
      <c r="G107" s="468">
        <v>463532.72</v>
      </c>
      <c r="H107" s="470"/>
      <c r="I107" s="467">
        <f t="shared" si="130"/>
        <v>6079730.05500001</v>
      </c>
      <c r="J107" s="467">
        <v>200000</v>
      </c>
      <c r="K107" s="467">
        <v>0.2</v>
      </c>
      <c r="L107" s="467">
        <f t="shared" si="131"/>
        <v>1215946.011</v>
      </c>
      <c r="M107" s="467">
        <f t="shared" si="132"/>
        <v>1415946.011</v>
      </c>
      <c r="N107" s="467">
        <f t="shared" si="133"/>
        <v>1970374.956</v>
      </c>
      <c r="O107" s="467">
        <f t="shared" si="134"/>
        <v>4663784.04400001</v>
      </c>
      <c r="P107" s="467">
        <f t="shared" si="135"/>
        <v>21000</v>
      </c>
      <c r="Q107" s="467">
        <f t="shared" si="136"/>
        <v>33000</v>
      </c>
      <c r="R107" s="467">
        <f t="shared" si="137"/>
        <v>75000</v>
      </c>
      <c r="S107" s="467">
        <f t="shared" si="138"/>
        <v>95000</v>
      </c>
      <c r="T107" s="467">
        <f t="shared" si="139"/>
        <v>336000</v>
      </c>
      <c r="U107" s="467">
        <f t="shared" si="140"/>
        <v>351308.170560001</v>
      </c>
      <c r="V107" s="467">
        <f t="shared" si="141"/>
        <v>911308.170560001</v>
      </c>
      <c r="W107" s="474">
        <v>12</v>
      </c>
      <c r="X107" s="467">
        <f t="shared" si="142"/>
        <v>75942.3475466668</v>
      </c>
      <c r="Y107" s="470"/>
      <c r="Z107" s="929">
        <f t="shared" si="143"/>
        <v>75942.3475466668</v>
      </c>
      <c r="AA107" s="806">
        <v>59711.1152554667</v>
      </c>
      <c r="AB107" s="806">
        <f t="shared" si="144"/>
        <v>16231.2322912001</v>
      </c>
      <c r="AC107" s="479"/>
      <c r="AD107" s="479"/>
      <c r="AE107" s="479"/>
    </row>
    <row r="108" ht="15.5" spans="1:31">
      <c r="A108" s="464"/>
      <c r="B108" s="643"/>
      <c r="C108" s="473"/>
      <c r="D108" s="466"/>
      <c r="E108" s="467"/>
      <c r="F108" s="467"/>
      <c r="G108" s="468"/>
      <c r="H108" s="470"/>
      <c r="I108" s="467"/>
      <c r="J108" s="467"/>
      <c r="K108" s="467"/>
      <c r="L108" s="467"/>
      <c r="M108" s="467"/>
      <c r="N108" s="467"/>
      <c r="O108" s="467"/>
      <c r="P108" s="467"/>
      <c r="Q108" s="467"/>
      <c r="R108" s="467"/>
      <c r="S108" s="467"/>
      <c r="T108" s="467"/>
      <c r="U108" s="467"/>
      <c r="V108" s="467"/>
      <c r="W108" s="474"/>
      <c r="X108" s="467"/>
      <c r="Y108" s="470"/>
      <c r="Z108" s="929"/>
      <c r="AA108" s="806"/>
      <c r="AB108" s="806"/>
      <c r="AC108" s="479"/>
      <c r="AD108" s="479"/>
      <c r="AE108" s="479"/>
    </row>
    <row r="109" ht="15" spans="1:31">
      <c r="A109" s="464">
        <v>91</v>
      </c>
      <c r="B109" s="864" t="s">
        <v>618</v>
      </c>
      <c r="C109" s="467"/>
      <c r="G109" s="468"/>
      <c r="U109" s="467"/>
      <c r="AA109" s="281"/>
      <c r="AB109" s="806"/>
      <c r="AC109" s="479"/>
      <c r="AD109" s="479"/>
      <c r="AE109" s="479"/>
    </row>
    <row r="110" ht="15.5" spans="1:31">
      <c r="A110" s="464">
        <v>92</v>
      </c>
      <c r="B110" s="643" t="s">
        <v>272</v>
      </c>
      <c r="C110" s="467">
        <v>337890.916666667</v>
      </c>
      <c r="D110" s="466">
        <v>12</v>
      </c>
      <c r="E110" s="467">
        <f t="shared" ref="E110:E124" si="145">C110*D110</f>
        <v>4054691</v>
      </c>
      <c r="F110" s="467"/>
      <c r="G110" s="468">
        <v>276375.280000001</v>
      </c>
      <c r="H110" s="470"/>
      <c r="I110" s="467">
        <f t="shared" ref="I110:I124" si="146">E110-F110-G110-H110</f>
        <v>3778315.72</v>
      </c>
      <c r="J110" s="467">
        <v>200000</v>
      </c>
      <c r="K110" s="467">
        <v>0.2</v>
      </c>
      <c r="L110" s="467">
        <f t="shared" ref="L110:L124" si="147">I110*K110</f>
        <v>755663.144000001</v>
      </c>
      <c r="M110" s="467">
        <f t="shared" ref="M110:M124" si="148">J110+L110</f>
        <v>955663.144000001</v>
      </c>
      <c r="N110" s="467">
        <f t="shared" ref="N110:N124" si="149">F110+G110+H110+M110</f>
        <v>1232038.424</v>
      </c>
      <c r="O110" s="467">
        <f t="shared" ref="O110:O124" si="150">E110-N110</f>
        <v>2822652.576</v>
      </c>
      <c r="P110" s="467">
        <f t="shared" ref="P110:P124" si="151">IF(O110&lt;300000,0.07*O110,21000)</f>
        <v>21000</v>
      </c>
      <c r="Q110" s="467">
        <f t="shared" ref="Q110:Q124" si="152">IF((O110-300000)&lt;0,0,IF((O110-300000)&lt;300000,0.11*(O110-300000),33000))</f>
        <v>33000</v>
      </c>
      <c r="R110" s="467">
        <f t="shared" ref="R110:R124" si="153">IF((O110-600000)&lt;0,0,IF((O110-600000)&lt;500000,0.15*(O110-600000),75000))</f>
        <v>75000</v>
      </c>
      <c r="S110" s="467">
        <f t="shared" ref="S110:S124" si="154">IF((O110-1100000)&lt;0,0,IF((O110-1100000)&lt;500000,0.19*(O110-1100000),95000))</f>
        <v>95000</v>
      </c>
      <c r="T110" s="467">
        <f t="shared" ref="T110:T124" si="155">IF((O110-1600000)&lt;0,0,IF((O110-1600000)&lt;1600000,0.21*(O110-1600000),336000))</f>
        <v>256757.04096</v>
      </c>
      <c r="U110" s="467"/>
      <c r="V110" s="467">
        <f t="shared" ref="V110:V124" si="156">P110+Q110+R110+S110+T110+U110</f>
        <v>480757.04096</v>
      </c>
      <c r="W110" s="474">
        <v>12</v>
      </c>
      <c r="X110" s="467">
        <f t="shared" ref="X110:X124" si="157">V110/W110</f>
        <v>40063.0867466667</v>
      </c>
      <c r="Y110" s="470"/>
      <c r="Z110" s="929">
        <f t="shared" ref="Z110:Z124" si="158">X110</f>
        <v>40063.0867466667</v>
      </c>
      <c r="AA110" s="806">
        <v>29305.1955466667</v>
      </c>
      <c r="AB110" s="806">
        <f t="shared" ref="AB110:AB124" si="159">Z110-AA110</f>
        <v>10757.8912</v>
      </c>
      <c r="AC110" s="479"/>
      <c r="AD110" s="479"/>
      <c r="AE110" s="479"/>
    </row>
    <row r="111" ht="15.5" spans="1:31">
      <c r="A111" s="464">
        <v>93</v>
      </c>
      <c r="B111" s="643" t="s">
        <v>277</v>
      </c>
      <c r="C111" s="467">
        <v>337890.916666667</v>
      </c>
      <c r="D111" s="466">
        <v>12</v>
      </c>
      <c r="E111" s="467">
        <f t="shared" si="145"/>
        <v>4054691</v>
      </c>
      <c r="F111" s="467"/>
      <c r="G111" s="468">
        <v>276375.280000001</v>
      </c>
      <c r="H111" s="470"/>
      <c r="I111" s="467">
        <f t="shared" si="146"/>
        <v>3778315.72</v>
      </c>
      <c r="J111" s="467">
        <v>200000</v>
      </c>
      <c r="K111" s="467">
        <v>0.2</v>
      </c>
      <c r="L111" s="467">
        <f t="shared" si="147"/>
        <v>755663.144000001</v>
      </c>
      <c r="M111" s="467">
        <f t="shared" si="148"/>
        <v>955663.144000001</v>
      </c>
      <c r="N111" s="467">
        <f t="shared" si="149"/>
        <v>1232038.424</v>
      </c>
      <c r="O111" s="467">
        <f t="shared" si="150"/>
        <v>2822652.576</v>
      </c>
      <c r="P111" s="467">
        <f t="shared" si="151"/>
        <v>21000</v>
      </c>
      <c r="Q111" s="467">
        <f t="shared" si="152"/>
        <v>33000</v>
      </c>
      <c r="R111" s="467">
        <f t="shared" si="153"/>
        <v>75000</v>
      </c>
      <c r="S111" s="467">
        <f t="shared" si="154"/>
        <v>95000</v>
      </c>
      <c r="T111" s="467">
        <f t="shared" si="155"/>
        <v>256757.04096</v>
      </c>
      <c r="U111" s="467"/>
      <c r="V111" s="467">
        <f t="shared" si="156"/>
        <v>480757.04096</v>
      </c>
      <c r="W111" s="474">
        <v>12</v>
      </c>
      <c r="X111" s="467">
        <f t="shared" si="157"/>
        <v>40063.0867466667</v>
      </c>
      <c r="Y111" s="470"/>
      <c r="Z111" s="929">
        <f t="shared" si="158"/>
        <v>40063.0867466667</v>
      </c>
      <c r="AA111" s="806">
        <v>29305.1955466667</v>
      </c>
      <c r="AB111" s="806">
        <f t="shared" si="159"/>
        <v>10757.8912</v>
      </c>
      <c r="AC111" s="479"/>
      <c r="AD111" s="479"/>
      <c r="AE111" s="479"/>
    </row>
    <row r="112" ht="15" spans="1:31">
      <c r="A112" s="464">
        <v>95</v>
      </c>
      <c r="B112" s="864"/>
      <c r="C112" s="467"/>
      <c r="D112" s="466"/>
      <c r="E112" s="467"/>
      <c r="F112" s="467"/>
      <c r="G112" s="470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929"/>
      <c r="AA112" s="806"/>
      <c r="AB112" s="806"/>
      <c r="AC112" s="479"/>
      <c r="AD112" s="479"/>
      <c r="AE112" s="479"/>
    </row>
    <row r="113" ht="15" spans="1:31">
      <c r="A113" s="464">
        <v>96</v>
      </c>
      <c r="B113" s="867"/>
      <c r="C113" s="467"/>
      <c r="U113" s="480"/>
      <c r="AA113" s="281"/>
      <c r="AB113" s="806"/>
      <c r="AC113" s="479"/>
      <c r="AD113" s="479"/>
      <c r="AE113" s="479"/>
    </row>
    <row r="114" ht="15" spans="1:31">
      <c r="A114" s="464">
        <v>97</v>
      </c>
      <c r="B114" s="864" t="s">
        <v>279</v>
      </c>
      <c r="C114" s="467"/>
      <c r="U114" s="480"/>
      <c r="AA114" s="281"/>
      <c r="AB114" s="806"/>
      <c r="AC114" s="479"/>
      <c r="AD114" s="479"/>
      <c r="AE114" s="479"/>
    </row>
    <row r="115" ht="15.5" spans="1:31">
      <c r="A115" s="464">
        <v>98</v>
      </c>
      <c r="B115" s="643" t="s">
        <v>280</v>
      </c>
      <c r="C115" s="467">
        <v>1947106.41666666</v>
      </c>
      <c r="D115" s="466">
        <v>12</v>
      </c>
      <c r="E115" s="467">
        <f t="shared" si="145"/>
        <v>23365276.9999999</v>
      </c>
      <c r="F115" s="467">
        <v>326033.124999999</v>
      </c>
      <c r="G115" s="468">
        <v>1677222.16</v>
      </c>
      <c r="H115" s="470"/>
      <c r="I115" s="467">
        <f t="shared" si="146"/>
        <v>21362021.7149999</v>
      </c>
      <c r="J115" s="467">
        <v>200000</v>
      </c>
      <c r="K115" s="467">
        <v>0.2</v>
      </c>
      <c r="L115" s="467">
        <f t="shared" si="147"/>
        <v>4272404.34299998</v>
      </c>
      <c r="M115" s="467">
        <f t="shared" si="148"/>
        <v>4472404.34299998</v>
      </c>
      <c r="N115" s="467">
        <f t="shared" si="149"/>
        <v>6475659.62799998</v>
      </c>
      <c r="O115" s="467">
        <f t="shared" si="150"/>
        <v>16889617.3719999</v>
      </c>
      <c r="P115" s="467">
        <f t="shared" si="151"/>
        <v>21000</v>
      </c>
      <c r="Q115" s="467">
        <f t="shared" si="152"/>
        <v>33000</v>
      </c>
      <c r="R115" s="467">
        <f t="shared" si="153"/>
        <v>75000</v>
      </c>
      <c r="S115" s="467">
        <f t="shared" si="154"/>
        <v>95000</v>
      </c>
      <c r="T115" s="467">
        <f t="shared" si="155"/>
        <v>336000</v>
      </c>
      <c r="U115" s="467">
        <f t="shared" ref="U115:U121" si="160">0.24*(O115-3200000)</f>
        <v>3285508.16927998</v>
      </c>
      <c r="V115" s="467">
        <f t="shared" si="156"/>
        <v>3845508.16927998</v>
      </c>
      <c r="W115" s="474">
        <v>12</v>
      </c>
      <c r="X115" s="467">
        <f t="shared" si="157"/>
        <v>320459.014106665</v>
      </c>
      <c r="Y115" s="470"/>
      <c r="Z115" s="929">
        <f t="shared" si="158"/>
        <v>320459.014106665</v>
      </c>
      <c r="AA115" s="806">
        <v>270279.895370667</v>
      </c>
      <c r="AB115" s="806">
        <f t="shared" si="159"/>
        <v>50179.1187359983</v>
      </c>
      <c r="AC115" s="479"/>
      <c r="AD115" s="479"/>
      <c r="AE115" s="479"/>
    </row>
    <row r="116" ht="15.5" spans="1:31">
      <c r="A116" s="464">
        <v>99</v>
      </c>
      <c r="B116" s="643" t="s">
        <v>282</v>
      </c>
      <c r="C116" s="467">
        <v>1095306.75</v>
      </c>
      <c r="D116" s="466">
        <v>12</v>
      </c>
      <c r="E116" s="467">
        <f t="shared" si="145"/>
        <v>13143681</v>
      </c>
      <c r="F116" s="467">
        <v>166400.85</v>
      </c>
      <c r="G116" s="468">
        <v>869094.48</v>
      </c>
      <c r="H116" s="470"/>
      <c r="I116" s="467">
        <f t="shared" si="146"/>
        <v>12108185.67</v>
      </c>
      <c r="J116" s="467">
        <v>200000</v>
      </c>
      <c r="K116" s="467">
        <v>0.2</v>
      </c>
      <c r="L116" s="467">
        <f t="shared" si="147"/>
        <v>2421637.134</v>
      </c>
      <c r="M116" s="467">
        <f t="shared" si="148"/>
        <v>2621637.134</v>
      </c>
      <c r="N116" s="467">
        <f t="shared" si="149"/>
        <v>3657132.464</v>
      </c>
      <c r="O116" s="467">
        <f t="shared" si="150"/>
        <v>9486548.536</v>
      </c>
      <c r="P116" s="467">
        <f t="shared" si="151"/>
        <v>21000</v>
      </c>
      <c r="Q116" s="467">
        <f t="shared" si="152"/>
        <v>33000</v>
      </c>
      <c r="R116" s="467">
        <f t="shared" si="153"/>
        <v>75000</v>
      </c>
      <c r="S116" s="467">
        <f t="shared" si="154"/>
        <v>95000</v>
      </c>
      <c r="T116" s="467">
        <f t="shared" si="155"/>
        <v>336000</v>
      </c>
      <c r="U116" s="467">
        <f t="shared" si="160"/>
        <v>1508771.64864</v>
      </c>
      <c r="V116" s="467">
        <f t="shared" si="156"/>
        <v>2068771.64864</v>
      </c>
      <c r="W116" s="474">
        <v>12</v>
      </c>
      <c r="X116" s="467">
        <f t="shared" si="157"/>
        <v>172397.637386667</v>
      </c>
      <c r="Y116" s="470"/>
      <c r="Z116" s="929">
        <f t="shared" si="158"/>
        <v>172397.637386667</v>
      </c>
      <c r="AA116" s="806">
        <v>143803.32</v>
      </c>
      <c r="AB116" s="806">
        <f t="shared" si="159"/>
        <v>28594.3173866667</v>
      </c>
      <c r="AC116" s="479"/>
      <c r="AD116" s="479"/>
      <c r="AE116" s="479"/>
    </row>
    <row r="117" ht="15.5" spans="1:31">
      <c r="A117" s="464"/>
      <c r="B117" s="639" t="s">
        <v>284</v>
      </c>
      <c r="C117" s="467">
        <v>1072711.08333333</v>
      </c>
      <c r="D117" s="466">
        <v>12</v>
      </c>
      <c r="E117" s="467">
        <f t="shared" si="145"/>
        <v>12872533</v>
      </c>
      <c r="F117" s="467">
        <v>157015.95</v>
      </c>
      <c r="G117" s="468">
        <v>818602.639999999</v>
      </c>
      <c r="H117" s="470"/>
      <c r="I117" s="467">
        <f t="shared" si="146"/>
        <v>11896914.41</v>
      </c>
      <c r="J117" s="467">
        <v>200000</v>
      </c>
      <c r="K117" s="467">
        <v>0.2</v>
      </c>
      <c r="L117" s="467">
        <f t="shared" si="147"/>
        <v>2379382.88199999</v>
      </c>
      <c r="M117" s="467">
        <f t="shared" si="148"/>
        <v>2579382.88199999</v>
      </c>
      <c r="N117" s="467">
        <f t="shared" si="149"/>
        <v>3555001.47199999</v>
      </c>
      <c r="O117" s="467">
        <f t="shared" si="150"/>
        <v>9317531.52799997</v>
      </c>
      <c r="P117" s="467">
        <f t="shared" si="151"/>
        <v>21000</v>
      </c>
      <c r="Q117" s="467">
        <f t="shared" si="152"/>
        <v>33000</v>
      </c>
      <c r="R117" s="467">
        <f t="shared" si="153"/>
        <v>75000</v>
      </c>
      <c r="S117" s="467">
        <f t="shared" si="154"/>
        <v>95000</v>
      </c>
      <c r="T117" s="467">
        <f t="shared" si="155"/>
        <v>336000</v>
      </c>
      <c r="U117" s="467">
        <f t="shared" si="160"/>
        <v>1468207.56671999</v>
      </c>
      <c r="V117" s="467">
        <f t="shared" si="156"/>
        <v>2028207.56671999</v>
      </c>
      <c r="W117" s="474">
        <v>12</v>
      </c>
      <c r="X117" s="467">
        <f t="shared" si="157"/>
        <v>169017.297226666</v>
      </c>
      <c r="Y117" s="470"/>
      <c r="Z117" s="929">
        <f t="shared" si="158"/>
        <v>169017.297226666</v>
      </c>
      <c r="AA117" s="806">
        <v>145172.65</v>
      </c>
      <c r="AB117" s="806">
        <f t="shared" si="159"/>
        <v>23844.647226666</v>
      </c>
      <c r="AC117" s="479"/>
      <c r="AD117" s="479"/>
      <c r="AE117" s="479"/>
    </row>
    <row r="118" ht="15.5" spans="1:31">
      <c r="A118" s="464"/>
      <c r="B118" s="643" t="s">
        <v>287</v>
      </c>
      <c r="C118" s="467">
        <v>659657</v>
      </c>
      <c r="D118" s="466">
        <v>12</v>
      </c>
      <c r="E118" s="467">
        <f t="shared" si="145"/>
        <v>7915884</v>
      </c>
      <c r="F118" s="467"/>
      <c r="G118" s="468">
        <v>566070.72</v>
      </c>
      <c r="H118" s="470"/>
      <c r="I118" s="467">
        <f t="shared" si="146"/>
        <v>7349813.28</v>
      </c>
      <c r="J118" s="467">
        <v>200000</v>
      </c>
      <c r="K118" s="467">
        <v>0.2</v>
      </c>
      <c r="L118" s="467">
        <f t="shared" si="147"/>
        <v>1469962.656</v>
      </c>
      <c r="M118" s="467">
        <f t="shared" si="148"/>
        <v>1669962.656</v>
      </c>
      <c r="N118" s="467">
        <f t="shared" si="149"/>
        <v>2236033.376</v>
      </c>
      <c r="O118" s="467">
        <f t="shared" si="150"/>
        <v>5679850.624</v>
      </c>
      <c r="P118" s="467">
        <f t="shared" si="151"/>
        <v>21000</v>
      </c>
      <c r="Q118" s="467">
        <f t="shared" si="152"/>
        <v>33000</v>
      </c>
      <c r="R118" s="467">
        <f t="shared" si="153"/>
        <v>75000</v>
      </c>
      <c r="S118" s="467">
        <f t="shared" si="154"/>
        <v>95000</v>
      </c>
      <c r="T118" s="467">
        <f t="shared" si="155"/>
        <v>336000</v>
      </c>
      <c r="U118" s="467">
        <f t="shared" si="160"/>
        <v>595164.14976</v>
      </c>
      <c r="V118" s="467">
        <f t="shared" si="156"/>
        <v>1155164.14976</v>
      </c>
      <c r="W118" s="474">
        <v>12</v>
      </c>
      <c r="X118" s="467">
        <f t="shared" si="157"/>
        <v>96263.6791466667</v>
      </c>
      <c r="Y118" s="470"/>
      <c r="Z118" s="929">
        <f t="shared" si="158"/>
        <v>96263.6791466667</v>
      </c>
      <c r="AA118" s="806">
        <v>75215.4333866667</v>
      </c>
      <c r="AB118" s="806">
        <f t="shared" si="159"/>
        <v>21048.24576</v>
      </c>
      <c r="AC118" s="479"/>
      <c r="AD118" s="479"/>
      <c r="AE118" s="479"/>
    </row>
    <row r="119" ht="15.5" spans="1:31">
      <c r="A119" s="464">
        <v>101</v>
      </c>
      <c r="B119" s="643" t="s">
        <v>288</v>
      </c>
      <c r="C119" s="467">
        <v>628165.25</v>
      </c>
      <c r="D119" s="466">
        <v>12</v>
      </c>
      <c r="E119" s="467">
        <f t="shared" si="145"/>
        <v>7537983</v>
      </c>
      <c r="F119" s="467">
        <v>104314.775</v>
      </c>
      <c r="G119" s="468">
        <v>535838.64</v>
      </c>
      <c r="H119" s="470"/>
      <c r="I119" s="467">
        <f t="shared" si="146"/>
        <v>6897829.585</v>
      </c>
      <c r="J119" s="467">
        <v>200000</v>
      </c>
      <c r="K119" s="467">
        <v>0.2</v>
      </c>
      <c r="L119" s="467">
        <f t="shared" si="147"/>
        <v>1379565.917</v>
      </c>
      <c r="M119" s="467">
        <f t="shared" si="148"/>
        <v>1579565.917</v>
      </c>
      <c r="N119" s="467">
        <f t="shared" si="149"/>
        <v>2219719.332</v>
      </c>
      <c r="O119" s="467">
        <f t="shared" si="150"/>
        <v>5318263.668</v>
      </c>
      <c r="P119" s="467">
        <f t="shared" si="151"/>
        <v>21000</v>
      </c>
      <c r="Q119" s="467">
        <f t="shared" si="152"/>
        <v>33000</v>
      </c>
      <c r="R119" s="467">
        <f t="shared" si="153"/>
        <v>75000</v>
      </c>
      <c r="S119" s="467">
        <f t="shared" si="154"/>
        <v>95000</v>
      </c>
      <c r="T119" s="467">
        <f t="shared" si="155"/>
        <v>336000</v>
      </c>
      <c r="U119" s="467">
        <f t="shared" si="160"/>
        <v>508383.28032</v>
      </c>
      <c r="V119" s="467">
        <f t="shared" si="156"/>
        <v>1068383.28032</v>
      </c>
      <c r="W119" s="474">
        <v>12</v>
      </c>
      <c r="X119" s="467">
        <f t="shared" si="157"/>
        <v>89031.9400266667</v>
      </c>
      <c r="Y119" s="470"/>
      <c r="Z119" s="929">
        <f t="shared" si="158"/>
        <v>89031.9400266667</v>
      </c>
      <c r="AA119" s="806">
        <v>70189.3087466667</v>
      </c>
      <c r="AB119" s="806">
        <f t="shared" si="159"/>
        <v>18842.63128</v>
      </c>
      <c r="AC119" s="479"/>
      <c r="AD119" s="479"/>
      <c r="AE119" s="479"/>
    </row>
    <row r="120" ht="15.5" spans="1:31">
      <c r="A120" s="464">
        <v>103</v>
      </c>
      <c r="B120" s="643" t="s">
        <v>290</v>
      </c>
      <c r="C120" s="467">
        <v>643911.083333334</v>
      </c>
      <c r="D120" s="466">
        <v>12</v>
      </c>
      <c r="E120" s="467">
        <f t="shared" si="145"/>
        <v>7726933.00000001</v>
      </c>
      <c r="F120" s="473">
        <v>107120</v>
      </c>
      <c r="G120" s="468">
        <v>550954.64</v>
      </c>
      <c r="H120" s="470"/>
      <c r="I120" s="467">
        <f t="shared" si="146"/>
        <v>7068858.36000001</v>
      </c>
      <c r="J120" s="467">
        <v>200000</v>
      </c>
      <c r="K120" s="467">
        <v>0.2</v>
      </c>
      <c r="L120" s="467">
        <f t="shared" si="147"/>
        <v>1413771.672</v>
      </c>
      <c r="M120" s="467">
        <f t="shared" si="148"/>
        <v>1613771.672</v>
      </c>
      <c r="N120" s="467">
        <f t="shared" si="149"/>
        <v>2271846.312</v>
      </c>
      <c r="O120" s="467">
        <f t="shared" si="150"/>
        <v>5455086.68800001</v>
      </c>
      <c r="P120" s="467">
        <f t="shared" si="151"/>
        <v>21000</v>
      </c>
      <c r="Q120" s="467">
        <f t="shared" si="152"/>
        <v>33000</v>
      </c>
      <c r="R120" s="467">
        <f t="shared" si="153"/>
        <v>75000</v>
      </c>
      <c r="S120" s="467">
        <f t="shared" si="154"/>
        <v>95000</v>
      </c>
      <c r="T120" s="467">
        <f t="shared" si="155"/>
        <v>336000</v>
      </c>
      <c r="U120" s="467">
        <f t="shared" si="160"/>
        <v>541220.805120001</v>
      </c>
      <c r="V120" s="467">
        <f t="shared" si="156"/>
        <v>1101220.80512</v>
      </c>
      <c r="W120" s="474">
        <v>12</v>
      </c>
      <c r="X120" s="467">
        <f t="shared" si="157"/>
        <v>91768.4004266668</v>
      </c>
      <c r="Y120" s="470"/>
      <c r="Z120" s="929">
        <f t="shared" si="158"/>
        <v>91768.4004266668</v>
      </c>
      <c r="AA120" s="806">
        <v>72636.1041866667</v>
      </c>
      <c r="AB120" s="806">
        <f t="shared" si="159"/>
        <v>19132.2962400001</v>
      </c>
      <c r="AC120" s="479"/>
      <c r="AD120" s="479"/>
      <c r="AE120" s="479"/>
    </row>
    <row r="121" ht="15.5" spans="1:31">
      <c r="A121" s="464">
        <v>105</v>
      </c>
      <c r="B121" s="643" t="s">
        <v>293</v>
      </c>
      <c r="C121" s="467">
        <v>415320.666666667</v>
      </c>
      <c r="D121" s="466">
        <v>12</v>
      </c>
      <c r="E121" s="467">
        <f t="shared" si="145"/>
        <v>4983848</v>
      </c>
      <c r="F121" s="473"/>
      <c r="G121" s="468">
        <v>341107.840000001</v>
      </c>
      <c r="H121" s="470"/>
      <c r="I121" s="467">
        <f t="shared" si="146"/>
        <v>4642740.16</v>
      </c>
      <c r="J121" s="467">
        <v>200000</v>
      </c>
      <c r="K121" s="467">
        <v>0.2</v>
      </c>
      <c r="L121" s="467">
        <f t="shared" si="147"/>
        <v>928548.032000001</v>
      </c>
      <c r="M121" s="467">
        <f t="shared" si="148"/>
        <v>1128548.032</v>
      </c>
      <c r="N121" s="467">
        <f t="shared" si="149"/>
        <v>1469655.872</v>
      </c>
      <c r="O121" s="467">
        <f t="shared" si="150"/>
        <v>3514192.128</v>
      </c>
      <c r="P121" s="467">
        <f t="shared" si="151"/>
        <v>21000</v>
      </c>
      <c r="Q121" s="467">
        <f t="shared" si="152"/>
        <v>33000</v>
      </c>
      <c r="R121" s="467">
        <f t="shared" si="153"/>
        <v>75000</v>
      </c>
      <c r="S121" s="467">
        <f t="shared" si="154"/>
        <v>95000</v>
      </c>
      <c r="T121" s="467">
        <f t="shared" si="155"/>
        <v>336000</v>
      </c>
      <c r="U121" s="467">
        <f t="shared" si="160"/>
        <v>75406.1107200006</v>
      </c>
      <c r="V121" s="467">
        <f t="shared" si="156"/>
        <v>635406.110720001</v>
      </c>
      <c r="W121" s="474">
        <v>12</v>
      </c>
      <c r="X121" s="467">
        <f t="shared" si="157"/>
        <v>52950.5092266667</v>
      </c>
      <c r="Y121" s="470"/>
      <c r="Z121" s="929">
        <f t="shared" si="158"/>
        <v>52950.5092266667</v>
      </c>
      <c r="AA121" s="806">
        <v>39052.3130666667</v>
      </c>
      <c r="AB121" s="806">
        <f t="shared" si="159"/>
        <v>13898.19616</v>
      </c>
      <c r="AC121" s="479"/>
      <c r="AD121" s="479"/>
      <c r="AE121" s="479"/>
    </row>
    <row r="122" ht="15.5" spans="1:31">
      <c r="A122" s="464">
        <v>106</v>
      </c>
      <c r="B122" s="351" t="s">
        <v>295</v>
      </c>
      <c r="C122" s="467">
        <v>351910.75</v>
      </c>
      <c r="D122" s="466">
        <v>12</v>
      </c>
      <c r="E122" s="467">
        <f t="shared" si="145"/>
        <v>4222929</v>
      </c>
      <c r="F122" s="467"/>
      <c r="G122" s="468">
        <v>289834.32</v>
      </c>
      <c r="H122" s="470"/>
      <c r="I122" s="467">
        <f t="shared" si="146"/>
        <v>3933094.68</v>
      </c>
      <c r="J122" s="467">
        <v>200000</v>
      </c>
      <c r="K122" s="467">
        <v>0.2</v>
      </c>
      <c r="L122" s="467">
        <f t="shared" si="147"/>
        <v>786618.936</v>
      </c>
      <c r="M122" s="467">
        <f t="shared" si="148"/>
        <v>986618.936</v>
      </c>
      <c r="N122" s="467">
        <f t="shared" si="149"/>
        <v>1276453.256</v>
      </c>
      <c r="O122" s="467">
        <f t="shared" si="150"/>
        <v>2946475.744</v>
      </c>
      <c r="P122" s="467">
        <f t="shared" si="151"/>
        <v>21000</v>
      </c>
      <c r="Q122" s="467">
        <f t="shared" si="152"/>
        <v>33000</v>
      </c>
      <c r="R122" s="467">
        <f t="shared" si="153"/>
        <v>75000</v>
      </c>
      <c r="S122" s="467">
        <f t="shared" si="154"/>
        <v>95000</v>
      </c>
      <c r="T122" s="467">
        <f t="shared" si="155"/>
        <v>282759.90624</v>
      </c>
      <c r="U122" s="467"/>
      <c r="V122" s="467">
        <f t="shared" si="156"/>
        <v>506759.90624</v>
      </c>
      <c r="W122" s="474">
        <v>12</v>
      </c>
      <c r="X122" s="467">
        <f t="shared" si="157"/>
        <v>42229.9921866667</v>
      </c>
      <c r="Y122" s="470"/>
      <c r="Z122" s="929">
        <f t="shared" si="158"/>
        <v>42229.9921866667</v>
      </c>
      <c r="AA122" s="806">
        <v>30259.1656266667</v>
      </c>
      <c r="AB122" s="806">
        <f t="shared" si="159"/>
        <v>11970.82656</v>
      </c>
      <c r="AC122" s="479"/>
      <c r="AD122" s="479"/>
      <c r="AE122" s="479"/>
    </row>
    <row r="123" ht="15.5" spans="1:31">
      <c r="A123" s="464">
        <v>107</v>
      </c>
      <c r="B123" s="351" t="s">
        <v>297</v>
      </c>
      <c r="C123" s="467">
        <v>351910.75</v>
      </c>
      <c r="D123" s="466">
        <v>12</v>
      </c>
      <c r="E123" s="467">
        <f t="shared" si="145"/>
        <v>4222929</v>
      </c>
      <c r="F123" s="467"/>
      <c r="G123" s="468">
        <v>289834.32</v>
      </c>
      <c r="H123" s="470"/>
      <c r="I123" s="467">
        <f t="shared" si="146"/>
        <v>3933094.68</v>
      </c>
      <c r="J123" s="467">
        <v>200000</v>
      </c>
      <c r="K123" s="467">
        <v>0.2</v>
      </c>
      <c r="L123" s="467">
        <f t="shared" si="147"/>
        <v>786618.936</v>
      </c>
      <c r="M123" s="467">
        <f t="shared" si="148"/>
        <v>986618.936</v>
      </c>
      <c r="N123" s="467">
        <f t="shared" si="149"/>
        <v>1276453.256</v>
      </c>
      <c r="O123" s="467">
        <f t="shared" si="150"/>
        <v>2946475.744</v>
      </c>
      <c r="P123" s="467">
        <f t="shared" si="151"/>
        <v>21000</v>
      </c>
      <c r="Q123" s="467">
        <f t="shared" si="152"/>
        <v>33000</v>
      </c>
      <c r="R123" s="467">
        <f t="shared" si="153"/>
        <v>75000</v>
      </c>
      <c r="S123" s="467">
        <f t="shared" si="154"/>
        <v>95000</v>
      </c>
      <c r="T123" s="467">
        <f t="shared" si="155"/>
        <v>282759.90624</v>
      </c>
      <c r="U123" s="467"/>
      <c r="V123" s="467">
        <f t="shared" si="156"/>
        <v>506759.90624</v>
      </c>
      <c r="W123" s="474">
        <v>12</v>
      </c>
      <c r="X123" s="467">
        <f t="shared" si="157"/>
        <v>42229.9921866667</v>
      </c>
      <c r="Y123" s="470"/>
      <c r="Z123" s="929">
        <f t="shared" si="158"/>
        <v>42229.9921866667</v>
      </c>
      <c r="AA123" s="806">
        <v>30259.1656266667</v>
      </c>
      <c r="AB123" s="806">
        <f t="shared" si="159"/>
        <v>11970.82656</v>
      </c>
      <c r="AC123" s="479"/>
      <c r="AD123" s="479"/>
      <c r="AE123" s="479"/>
    </row>
    <row r="124" ht="15.5" spans="1:31">
      <c r="A124" s="464">
        <v>108</v>
      </c>
      <c r="B124" s="351" t="s">
        <v>298</v>
      </c>
      <c r="C124" s="467">
        <v>344900.833333334</v>
      </c>
      <c r="D124" s="466">
        <v>12</v>
      </c>
      <c r="E124" s="467">
        <f t="shared" si="145"/>
        <v>4138810.00000001</v>
      </c>
      <c r="F124" s="467"/>
      <c r="G124" s="468">
        <v>283104.8</v>
      </c>
      <c r="H124" s="470"/>
      <c r="I124" s="467">
        <f t="shared" si="146"/>
        <v>3855705.20000001</v>
      </c>
      <c r="J124" s="467">
        <v>200000</v>
      </c>
      <c r="K124" s="467">
        <v>0.2</v>
      </c>
      <c r="L124" s="467">
        <f t="shared" si="147"/>
        <v>771141.040000002</v>
      </c>
      <c r="M124" s="467">
        <f t="shared" si="148"/>
        <v>971141.040000002</v>
      </c>
      <c r="N124" s="467">
        <f t="shared" si="149"/>
        <v>1254245.84</v>
      </c>
      <c r="O124" s="467">
        <f t="shared" si="150"/>
        <v>2884564.16000001</v>
      </c>
      <c r="P124" s="467">
        <f t="shared" si="151"/>
        <v>21000</v>
      </c>
      <c r="Q124" s="467">
        <f t="shared" si="152"/>
        <v>33000</v>
      </c>
      <c r="R124" s="467">
        <f t="shared" si="153"/>
        <v>75000</v>
      </c>
      <c r="S124" s="467">
        <f t="shared" si="154"/>
        <v>95000</v>
      </c>
      <c r="T124" s="467">
        <f t="shared" si="155"/>
        <v>269758.473600001</v>
      </c>
      <c r="U124" s="467"/>
      <c r="V124" s="467">
        <f t="shared" si="156"/>
        <v>493758.473600001</v>
      </c>
      <c r="W124" s="474">
        <v>12</v>
      </c>
      <c r="X124" s="467">
        <f t="shared" si="157"/>
        <v>41146.5394666668</v>
      </c>
      <c r="Y124" s="470"/>
      <c r="Z124" s="929">
        <f t="shared" si="158"/>
        <v>41146.5394666668</v>
      </c>
      <c r="AA124" s="806">
        <v>29305.1955466667</v>
      </c>
      <c r="AB124" s="806">
        <f t="shared" si="159"/>
        <v>11841.3439200001</v>
      </c>
      <c r="AC124" s="479"/>
      <c r="AD124" s="479"/>
      <c r="AE124" s="479"/>
    </row>
    <row r="125" ht="15" spans="1:31">
      <c r="A125" s="464">
        <v>109</v>
      </c>
      <c r="B125" s="864" t="s">
        <v>120</v>
      </c>
      <c r="C125" s="467"/>
      <c r="D125" s="466"/>
      <c r="E125" s="467"/>
      <c r="F125" s="467"/>
      <c r="G125" s="470"/>
      <c r="H125" s="470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  <c r="U125" s="467"/>
      <c r="V125" s="467"/>
      <c r="W125" s="474"/>
      <c r="X125" s="467"/>
      <c r="Y125" s="470"/>
      <c r="Z125" s="929"/>
      <c r="AA125" s="806"/>
      <c r="AB125" s="806"/>
      <c r="AC125" s="479"/>
      <c r="AD125" s="479"/>
      <c r="AE125" s="479"/>
    </row>
    <row r="126" ht="15" spans="1:31">
      <c r="A126" s="464">
        <v>110</v>
      </c>
      <c r="B126" s="867"/>
      <c r="C126" s="467"/>
      <c r="U126" s="480"/>
      <c r="AA126" s="281"/>
      <c r="AB126" s="806"/>
      <c r="AC126" s="479"/>
      <c r="AD126" s="479"/>
      <c r="AE126" s="479"/>
    </row>
    <row r="127" ht="15" spans="1:31">
      <c r="A127" s="464">
        <v>111</v>
      </c>
      <c r="B127" s="864" t="s">
        <v>300</v>
      </c>
      <c r="C127" s="467"/>
      <c r="U127" s="480"/>
      <c r="AA127" s="281"/>
      <c r="AB127" s="806"/>
      <c r="AC127" s="479"/>
      <c r="AD127" s="479"/>
      <c r="AE127" s="479"/>
    </row>
    <row r="128" ht="15.5" spans="1:31">
      <c r="A128" s="464">
        <v>112</v>
      </c>
      <c r="B128" s="639" t="s">
        <v>301</v>
      </c>
      <c r="C128" s="467">
        <v>1747612</v>
      </c>
      <c r="D128" s="466">
        <v>12</v>
      </c>
      <c r="E128" s="467">
        <f t="shared" ref="E128:E177" si="161">C128*D128</f>
        <v>20971344</v>
      </c>
      <c r="F128" s="467">
        <v>307730.499999999</v>
      </c>
      <c r="G128" s="468">
        <v>1581707.52</v>
      </c>
      <c r="H128" s="470"/>
      <c r="I128" s="467">
        <f t="shared" ref="I128:I177" si="162">E128-F128-G128-H128</f>
        <v>19081905.98</v>
      </c>
      <c r="J128" s="467">
        <v>200000</v>
      </c>
      <c r="K128" s="467">
        <v>0.2</v>
      </c>
      <c r="L128" s="467">
        <f t="shared" ref="L128:L177" si="163">I128*K128</f>
        <v>3816381.196</v>
      </c>
      <c r="M128" s="467">
        <f t="shared" ref="M128:M177" si="164">J128+L128</f>
        <v>4016381.196</v>
      </c>
      <c r="N128" s="467">
        <f t="shared" ref="N128:N187" si="165">F128+G128+H128+M128</f>
        <v>5905819.216</v>
      </c>
      <c r="O128" s="467">
        <f t="shared" ref="O128:O187" si="166">E128-N128</f>
        <v>15065524.784</v>
      </c>
      <c r="P128" s="467">
        <f t="shared" ref="P128:P187" si="167">IF(O128&lt;300000,0.07*O128,21000)</f>
        <v>21000</v>
      </c>
      <c r="Q128" s="467">
        <f t="shared" ref="Q128:Q187" si="168">IF((O128-300000)&lt;0,0,IF((O128-300000)&lt;300000,0.11*(O128-300000),33000))</f>
        <v>33000</v>
      </c>
      <c r="R128" s="467">
        <f t="shared" ref="R128:R187" si="169">IF((O128-600000)&lt;0,0,IF((O128-600000)&lt;500000,0.15*(O128-600000),75000))</f>
        <v>75000</v>
      </c>
      <c r="S128" s="467">
        <f t="shared" ref="S128:S187" si="170">IF((O128-1100000)&lt;0,0,IF((O128-1100000)&lt;500000,0.19*(O128-1100000),95000))</f>
        <v>95000</v>
      </c>
      <c r="T128" s="467">
        <f t="shared" ref="T128:T187" si="171">IF((O128-1600000)&lt;0,0,IF((O128-1600000)&lt;1600000,0.21*(O128-1600000),336000))</f>
        <v>336000</v>
      </c>
      <c r="U128" s="467">
        <f t="shared" ref="U128:U148" si="172">0.24*(O128-3200000)</f>
        <v>2847725.94816</v>
      </c>
      <c r="V128" s="467">
        <f t="shared" ref="V128:V187" si="173">P128+Q128+R128+S128+T128+U128</f>
        <v>3407725.94816</v>
      </c>
      <c r="W128" s="474">
        <v>12</v>
      </c>
      <c r="X128" s="467">
        <f t="shared" ref="X128:X187" si="174">V128/W128</f>
        <v>283977.162346667</v>
      </c>
      <c r="Y128" s="470"/>
      <c r="Z128" s="929">
        <f t="shared" ref="Z128:Z187" si="175">X128</f>
        <v>283977.162346667</v>
      </c>
      <c r="AA128" s="806">
        <v>236486.748679467</v>
      </c>
      <c r="AB128" s="806">
        <f t="shared" ref="AB128:AB177" si="176">Z128-AA128</f>
        <v>47490.4136671996</v>
      </c>
      <c r="AC128" s="479"/>
      <c r="AD128" s="479"/>
      <c r="AE128" s="479"/>
    </row>
    <row r="129" ht="15.5" spans="1:31">
      <c r="A129" s="464">
        <v>113</v>
      </c>
      <c r="B129" s="639" t="s">
        <v>304</v>
      </c>
      <c r="C129" s="467">
        <v>1045306.75</v>
      </c>
      <c r="D129" s="466">
        <v>12</v>
      </c>
      <c r="E129" s="467">
        <f t="shared" si="161"/>
        <v>12543681</v>
      </c>
      <c r="F129" s="467">
        <v>166400.85</v>
      </c>
      <c r="G129" s="468">
        <v>869094.48</v>
      </c>
      <c r="H129" s="470"/>
      <c r="I129" s="467">
        <f t="shared" si="162"/>
        <v>11508185.67</v>
      </c>
      <c r="J129" s="467">
        <v>200000</v>
      </c>
      <c r="K129" s="467">
        <v>0.2</v>
      </c>
      <c r="L129" s="467">
        <f t="shared" si="163"/>
        <v>2301637.134</v>
      </c>
      <c r="M129" s="467">
        <f t="shared" si="164"/>
        <v>2501637.134</v>
      </c>
      <c r="N129" s="467">
        <f t="shared" si="165"/>
        <v>3537132.464</v>
      </c>
      <c r="O129" s="467">
        <f t="shared" si="166"/>
        <v>9006548.536</v>
      </c>
      <c r="P129" s="467">
        <f t="shared" si="167"/>
        <v>21000</v>
      </c>
      <c r="Q129" s="467">
        <f t="shared" si="168"/>
        <v>33000</v>
      </c>
      <c r="R129" s="467">
        <f t="shared" si="169"/>
        <v>75000</v>
      </c>
      <c r="S129" s="467">
        <f t="shared" si="170"/>
        <v>95000</v>
      </c>
      <c r="T129" s="467">
        <f t="shared" si="171"/>
        <v>336000</v>
      </c>
      <c r="U129" s="467">
        <f t="shared" si="172"/>
        <v>1393571.64864</v>
      </c>
      <c r="V129" s="467">
        <f t="shared" si="173"/>
        <v>1953571.64864</v>
      </c>
      <c r="W129" s="474">
        <v>12</v>
      </c>
      <c r="X129" s="467">
        <f t="shared" si="174"/>
        <v>162797.637386667</v>
      </c>
      <c r="Y129" s="470"/>
      <c r="Z129" s="929">
        <f t="shared" si="175"/>
        <v>162797.637386667</v>
      </c>
      <c r="AA129" s="806">
        <v>140007.527610667</v>
      </c>
      <c r="AB129" s="806">
        <f t="shared" si="176"/>
        <v>22790.1097759997</v>
      </c>
      <c r="AC129" s="479"/>
      <c r="AD129" s="479"/>
      <c r="AE129" s="479"/>
    </row>
    <row r="130" ht="15.5" spans="1:31">
      <c r="A130" s="464">
        <v>114</v>
      </c>
      <c r="B130" s="643" t="s">
        <v>306</v>
      </c>
      <c r="C130" s="467">
        <v>780713.916666666</v>
      </c>
      <c r="D130" s="466">
        <v>12</v>
      </c>
      <c r="E130" s="467">
        <f t="shared" si="161"/>
        <v>9368566.99999999</v>
      </c>
      <c r="F130" s="467">
        <v>129894.325</v>
      </c>
      <c r="G130" s="468">
        <v>672685.36</v>
      </c>
      <c r="H130" s="470"/>
      <c r="I130" s="467">
        <f t="shared" si="162"/>
        <v>8565987.31499999</v>
      </c>
      <c r="J130" s="467">
        <v>200000</v>
      </c>
      <c r="K130" s="467">
        <v>0.2</v>
      </c>
      <c r="L130" s="467">
        <f t="shared" si="163"/>
        <v>1713197.463</v>
      </c>
      <c r="M130" s="467">
        <f t="shared" si="164"/>
        <v>1913197.463</v>
      </c>
      <c r="N130" s="467">
        <f t="shared" si="165"/>
        <v>2715777.148</v>
      </c>
      <c r="O130" s="467">
        <f t="shared" si="166"/>
        <v>6652789.85199999</v>
      </c>
      <c r="P130" s="467">
        <f t="shared" si="167"/>
        <v>21000</v>
      </c>
      <c r="Q130" s="467">
        <f t="shared" si="168"/>
        <v>33000</v>
      </c>
      <c r="R130" s="467">
        <f t="shared" si="169"/>
        <v>75000</v>
      </c>
      <c r="S130" s="467">
        <f t="shared" si="170"/>
        <v>95000</v>
      </c>
      <c r="T130" s="467">
        <f t="shared" si="171"/>
        <v>336000</v>
      </c>
      <c r="U130" s="467">
        <f t="shared" si="172"/>
        <v>828669.564479999</v>
      </c>
      <c r="V130" s="467">
        <f t="shared" si="173"/>
        <v>1388669.56448</v>
      </c>
      <c r="W130" s="474">
        <v>12</v>
      </c>
      <c r="X130" s="467">
        <f t="shared" si="174"/>
        <v>115722.463706667</v>
      </c>
      <c r="Y130" s="470"/>
      <c r="Z130" s="929">
        <f t="shared" si="175"/>
        <v>115722.463706667</v>
      </c>
      <c r="AA130" s="806">
        <v>95312.1873578667</v>
      </c>
      <c r="AB130" s="806">
        <f t="shared" si="176"/>
        <v>20410.2763487999</v>
      </c>
      <c r="AC130" s="479"/>
      <c r="AD130" s="479"/>
      <c r="AE130" s="479"/>
    </row>
    <row r="131" ht="15.5" spans="1:31">
      <c r="A131" s="464">
        <v>115</v>
      </c>
      <c r="B131" s="643" t="s">
        <v>308</v>
      </c>
      <c r="C131" s="467">
        <v>780713.916666666</v>
      </c>
      <c r="D131" s="466">
        <v>12</v>
      </c>
      <c r="E131" s="467">
        <f t="shared" si="161"/>
        <v>9368566.99999999</v>
      </c>
      <c r="F131" s="467">
        <v>129894.325</v>
      </c>
      <c r="G131" s="468">
        <v>672685.36</v>
      </c>
      <c r="H131" s="470"/>
      <c r="I131" s="467">
        <f t="shared" si="162"/>
        <v>8565987.31499999</v>
      </c>
      <c r="J131" s="467">
        <v>200000</v>
      </c>
      <c r="K131" s="467">
        <v>0.2</v>
      </c>
      <c r="L131" s="467">
        <f t="shared" si="163"/>
        <v>1713197.463</v>
      </c>
      <c r="M131" s="467">
        <f t="shared" si="164"/>
        <v>1913197.463</v>
      </c>
      <c r="N131" s="467">
        <f t="shared" si="165"/>
        <v>2715777.148</v>
      </c>
      <c r="O131" s="467">
        <f t="shared" si="166"/>
        <v>6652789.85199999</v>
      </c>
      <c r="P131" s="467">
        <f t="shared" si="167"/>
        <v>21000</v>
      </c>
      <c r="Q131" s="467">
        <f t="shared" si="168"/>
        <v>33000</v>
      </c>
      <c r="R131" s="467">
        <f t="shared" si="169"/>
        <v>75000</v>
      </c>
      <c r="S131" s="467">
        <f t="shared" si="170"/>
        <v>95000</v>
      </c>
      <c r="T131" s="467">
        <f t="shared" si="171"/>
        <v>336000</v>
      </c>
      <c r="U131" s="467">
        <f t="shared" si="172"/>
        <v>828669.564479999</v>
      </c>
      <c r="V131" s="467">
        <f t="shared" si="173"/>
        <v>1388669.56448</v>
      </c>
      <c r="W131" s="474">
        <v>12</v>
      </c>
      <c r="X131" s="467">
        <f t="shared" si="174"/>
        <v>115722.463706667</v>
      </c>
      <c r="Y131" s="470"/>
      <c r="Z131" s="929">
        <f t="shared" si="175"/>
        <v>115722.463706667</v>
      </c>
      <c r="AA131" s="806">
        <v>95312.1873578667</v>
      </c>
      <c r="AB131" s="806">
        <f t="shared" si="176"/>
        <v>20410.2763487999</v>
      </c>
      <c r="AC131" s="479"/>
      <c r="AD131" s="479"/>
      <c r="AE131" s="479"/>
    </row>
    <row r="132" ht="15.5" spans="1:31">
      <c r="A132" s="464">
        <v>116</v>
      </c>
      <c r="B132" s="643" t="s">
        <v>310</v>
      </c>
      <c r="C132" s="467">
        <v>780713.916666666</v>
      </c>
      <c r="D132" s="466">
        <v>12</v>
      </c>
      <c r="E132" s="467">
        <f t="shared" si="161"/>
        <v>9368566.99999999</v>
      </c>
      <c r="F132" s="467">
        <v>129894.325</v>
      </c>
      <c r="G132" s="468">
        <v>672685.36</v>
      </c>
      <c r="H132" s="470"/>
      <c r="I132" s="467">
        <f t="shared" si="162"/>
        <v>8565987.31499999</v>
      </c>
      <c r="J132" s="467">
        <v>200000</v>
      </c>
      <c r="K132" s="467">
        <v>0.2</v>
      </c>
      <c r="L132" s="467">
        <f t="shared" si="163"/>
        <v>1713197.463</v>
      </c>
      <c r="M132" s="467">
        <f t="shared" si="164"/>
        <v>1913197.463</v>
      </c>
      <c r="N132" s="467">
        <f t="shared" si="165"/>
        <v>2715777.148</v>
      </c>
      <c r="O132" s="467">
        <f t="shared" si="166"/>
        <v>6652789.85199999</v>
      </c>
      <c r="P132" s="467">
        <f t="shared" si="167"/>
        <v>21000</v>
      </c>
      <c r="Q132" s="467">
        <f t="shared" si="168"/>
        <v>33000</v>
      </c>
      <c r="R132" s="467">
        <f t="shared" si="169"/>
        <v>75000</v>
      </c>
      <c r="S132" s="467">
        <f t="shared" si="170"/>
        <v>95000</v>
      </c>
      <c r="T132" s="467">
        <f t="shared" si="171"/>
        <v>336000</v>
      </c>
      <c r="U132" s="467">
        <f t="shared" si="172"/>
        <v>828669.564479999</v>
      </c>
      <c r="V132" s="467">
        <f t="shared" si="173"/>
        <v>1388669.56448</v>
      </c>
      <c r="W132" s="474">
        <v>12</v>
      </c>
      <c r="X132" s="467">
        <f t="shared" si="174"/>
        <v>115722.463706667</v>
      </c>
      <c r="Y132" s="470"/>
      <c r="Z132" s="929">
        <f t="shared" si="175"/>
        <v>115722.463706667</v>
      </c>
      <c r="AA132" s="806">
        <v>95312.1873578667</v>
      </c>
      <c r="AB132" s="806">
        <f t="shared" si="176"/>
        <v>20410.2763487999</v>
      </c>
      <c r="AC132" s="479"/>
      <c r="AD132" s="479"/>
      <c r="AE132" s="479"/>
    </row>
    <row r="133" ht="15.5" spans="1:31">
      <c r="A133" s="464">
        <v>117</v>
      </c>
      <c r="B133" s="643" t="s">
        <v>313</v>
      </c>
      <c r="C133" s="467">
        <v>567472.75</v>
      </c>
      <c r="D133" s="466">
        <v>12</v>
      </c>
      <c r="E133" s="467">
        <f t="shared" si="161"/>
        <v>6809673</v>
      </c>
      <c r="F133" s="467"/>
      <c r="G133" s="468">
        <v>477573.84</v>
      </c>
      <c r="H133" s="470"/>
      <c r="I133" s="467">
        <f t="shared" si="162"/>
        <v>6332099.16</v>
      </c>
      <c r="J133" s="467">
        <v>200000</v>
      </c>
      <c r="K133" s="467">
        <v>0.2</v>
      </c>
      <c r="L133" s="467">
        <f t="shared" si="163"/>
        <v>1266419.832</v>
      </c>
      <c r="M133" s="467">
        <f t="shared" si="164"/>
        <v>1466419.832</v>
      </c>
      <c r="N133" s="467">
        <f t="shared" si="165"/>
        <v>1943993.672</v>
      </c>
      <c r="O133" s="467">
        <f t="shared" si="166"/>
        <v>4865679.328</v>
      </c>
      <c r="P133" s="467">
        <f t="shared" si="167"/>
        <v>21000</v>
      </c>
      <c r="Q133" s="467">
        <f t="shared" si="168"/>
        <v>33000</v>
      </c>
      <c r="R133" s="467">
        <f t="shared" si="169"/>
        <v>75000</v>
      </c>
      <c r="S133" s="467">
        <f t="shared" si="170"/>
        <v>95000</v>
      </c>
      <c r="T133" s="467">
        <f t="shared" si="171"/>
        <v>336000</v>
      </c>
      <c r="U133" s="467">
        <f t="shared" si="172"/>
        <v>399763.03872</v>
      </c>
      <c r="V133" s="467">
        <f t="shared" si="173"/>
        <v>959763.03872</v>
      </c>
      <c r="W133" s="474">
        <v>12</v>
      </c>
      <c r="X133" s="467">
        <f t="shared" si="174"/>
        <v>79980.2532266667</v>
      </c>
      <c r="Y133" s="470"/>
      <c r="Z133" s="929">
        <f t="shared" si="175"/>
        <v>79980.2532266667</v>
      </c>
      <c r="AA133" s="806">
        <v>61040.2352554667</v>
      </c>
      <c r="AB133" s="806">
        <f t="shared" si="176"/>
        <v>18940.0179712</v>
      </c>
      <c r="AC133" s="479"/>
      <c r="AD133" s="479"/>
      <c r="AE133" s="479"/>
    </row>
    <row r="134" ht="15.5" spans="1:31">
      <c r="A134" s="464">
        <v>118</v>
      </c>
      <c r="B134" s="643" t="s">
        <v>314</v>
      </c>
      <c r="C134" s="467">
        <v>602846.583333334</v>
      </c>
      <c r="D134" s="466">
        <v>12</v>
      </c>
      <c r="E134" s="467">
        <f t="shared" si="161"/>
        <v>7234159.00000001</v>
      </c>
      <c r="F134" s="467"/>
      <c r="G134" s="468">
        <v>463532.72</v>
      </c>
      <c r="H134" s="470"/>
      <c r="I134" s="467">
        <f t="shared" si="162"/>
        <v>6770626.28000001</v>
      </c>
      <c r="J134" s="467">
        <v>200000</v>
      </c>
      <c r="K134" s="467">
        <v>0.2</v>
      </c>
      <c r="L134" s="467">
        <f t="shared" si="163"/>
        <v>1354125.256</v>
      </c>
      <c r="M134" s="467">
        <f t="shared" si="164"/>
        <v>1554125.256</v>
      </c>
      <c r="N134" s="467">
        <f t="shared" si="165"/>
        <v>2017657.976</v>
      </c>
      <c r="O134" s="467">
        <f t="shared" si="166"/>
        <v>5216501.02400001</v>
      </c>
      <c r="P134" s="467">
        <f t="shared" si="167"/>
        <v>21000</v>
      </c>
      <c r="Q134" s="467">
        <f t="shared" si="168"/>
        <v>33000</v>
      </c>
      <c r="R134" s="467">
        <f t="shared" si="169"/>
        <v>75000</v>
      </c>
      <c r="S134" s="467">
        <f t="shared" si="170"/>
        <v>95000</v>
      </c>
      <c r="T134" s="467">
        <f t="shared" si="171"/>
        <v>336000</v>
      </c>
      <c r="U134" s="467">
        <f t="shared" si="172"/>
        <v>483960.245760001</v>
      </c>
      <c r="V134" s="467">
        <f t="shared" si="173"/>
        <v>1043960.24576</v>
      </c>
      <c r="W134" s="474">
        <v>12</v>
      </c>
      <c r="X134" s="467">
        <f t="shared" si="174"/>
        <v>86996.6871466668</v>
      </c>
      <c r="Y134" s="470"/>
      <c r="Z134" s="929">
        <f t="shared" si="175"/>
        <v>86996.6871466668</v>
      </c>
      <c r="AA134" s="806">
        <v>70642.73</v>
      </c>
      <c r="AB134" s="806">
        <f t="shared" si="176"/>
        <v>16353.9571466668</v>
      </c>
      <c r="AC134" s="479"/>
      <c r="AD134" s="479"/>
      <c r="AE134" s="479"/>
    </row>
    <row r="135" ht="15.5" spans="1:31">
      <c r="A135" s="464">
        <v>119</v>
      </c>
      <c r="B135" s="643" t="s">
        <v>316</v>
      </c>
      <c r="C135" s="467">
        <v>542662.666666667</v>
      </c>
      <c r="D135" s="466">
        <v>12</v>
      </c>
      <c r="E135" s="467">
        <f t="shared" si="161"/>
        <v>6511952</v>
      </c>
      <c r="F135" s="467"/>
      <c r="G135" s="468">
        <v>463356.160000001</v>
      </c>
      <c r="H135" s="470"/>
      <c r="I135" s="467">
        <f t="shared" si="162"/>
        <v>6048595.84</v>
      </c>
      <c r="J135" s="467">
        <v>200000</v>
      </c>
      <c r="K135" s="467">
        <v>0.2</v>
      </c>
      <c r="L135" s="467">
        <f t="shared" si="163"/>
        <v>1209719.168</v>
      </c>
      <c r="M135" s="467">
        <f t="shared" si="164"/>
        <v>1409719.168</v>
      </c>
      <c r="N135" s="467">
        <f t="shared" si="165"/>
        <v>1873075.328</v>
      </c>
      <c r="O135" s="467">
        <f t="shared" si="166"/>
        <v>4638876.672</v>
      </c>
      <c r="P135" s="467">
        <f t="shared" si="167"/>
        <v>21000</v>
      </c>
      <c r="Q135" s="467">
        <f t="shared" si="168"/>
        <v>33000</v>
      </c>
      <c r="R135" s="467">
        <f t="shared" si="169"/>
        <v>75000</v>
      </c>
      <c r="S135" s="467">
        <f t="shared" si="170"/>
        <v>95000</v>
      </c>
      <c r="T135" s="467">
        <f t="shared" si="171"/>
        <v>336000</v>
      </c>
      <c r="U135" s="467">
        <f t="shared" si="172"/>
        <v>345330.401280001</v>
      </c>
      <c r="V135" s="467">
        <f t="shared" si="173"/>
        <v>905330.401280001</v>
      </c>
      <c r="W135" s="474">
        <v>12</v>
      </c>
      <c r="X135" s="467">
        <f t="shared" si="174"/>
        <v>75444.2001066667</v>
      </c>
      <c r="Y135" s="470"/>
      <c r="Z135" s="929">
        <f t="shared" si="175"/>
        <v>75444.2001066667</v>
      </c>
      <c r="AA135" s="806">
        <v>56938.0689066667</v>
      </c>
      <c r="AB135" s="806">
        <f t="shared" si="176"/>
        <v>18506.1312</v>
      </c>
      <c r="AC135" s="479"/>
      <c r="AD135" s="479"/>
      <c r="AE135" s="479"/>
    </row>
    <row r="136" ht="15.5" spans="1:31">
      <c r="A136" s="464">
        <v>120</v>
      </c>
      <c r="B136" s="643" t="s">
        <v>318</v>
      </c>
      <c r="C136" s="467">
        <v>528828.166666667</v>
      </c>
      <c r="D136" s="466">
        <v>12</v>
      </c>
      <c r="E136" s="467">
        <f t="shared" si="161"/>
        <v>6345938</v>
      </c>
      <c r="F136" s="467">
        <v>88398.8750000001</v>
      </c>
      <c r="G136" s="468">
        <v>450075.040000001</v>
      </c>
      <c r="H136" s="470"/>
      <c r="I136" s="467">
        <f t="shared" si="162"/>
        <v>5807464.085</v>
      </c>
      <c r="J136" s="467">
        <v>200000</v>
      </c>
      <c r="K136" s="467">
        <v>0.2</v>
      </c>
      <c r="L136" s="467">
        <f t="shared" si="163"/>
        <v>1161492.817</v>
      </c>
      <c r="M136" s="467">
        <f t="shared" si="164"/>
        <v>1361492.817</v>
      </c>
      <c r="N136" s="467">
        <f t="shared" si="165"/>
        <v>1899966.732</v>
      </c>
      <c r="O136" s="467">
        <f t="shared" si="166"/>
        <v>4445971.268</v>
      </c>
      <c r="P136" s="467">
        <f t="shared" si="167"/>
        <v>21000</v>
      </c>
      <c r="Q136" s="467">
        <f t="shared" si="168"/>
        <v>33000</v>
      </c>
      <c r="R136" s="467">
        <f t="shared" si="169"/>
        <v>75000</v>
      </c>
      <c r="S136" s="467">
        <f t="shared" si="170"/>
        <v>95000</v>
      </c>
      <c r="T136" s="467">
        <f t="shared" si="171"/>
        <v>336000</v>
      </c>
      <c r="U136" s="467">
        <f t="shared" si="172"/>
        <v>299033.10432</v>
      </c>
      <c r="V136" s="467">
        <f t="shared" si="173"/>
        <v>859033.10432</v>
      </c>
      <c r="W136" s="474">
        <v>12</v>
      </c>
      <c r="X136" s="467">
        <f t="shared" si="174"/>
        <v>71586.0920266667</v>
      </c>
      <c r="Y136" s="470"/>
      <c r="Z136" s="929">
        <f t="shared" si="175"/>
        <v>71586.0920266667</v>
      </c>
      <c r="AA136" s="806">
        <v>54681.2915626667</v>
      </c>
      <c r="AB136" s="806">
        <f t="shared" si="176"/>
        <v>16904.800464</v>
      </c>
      <c r="AC136" s="479"/>
      <c r="AD136" s="479"/>
      <c r="AE136" s="479"/>
    </row>
    <row r="137" ht="15.5" spans="1:31">
      <c r="A137" s="464">
        <v>121</v>
      </c>
      <c r="B137" s="351" t="s">
        <v>320</v>
      </c>
      <c r="C137" s="467">
        <v>514993.583333333</v>
      </c>
      <c r="D137" s="466">
        <v>12</v>
      </c>
      <c r="E137" s="467">
        <f t="shared" si="161"/>
        <v>6179923</v>
      </c>
      <c r="F137" s="467"/>
      <c r="G137" s="468">
        <v>436793.839999999</v>
      </c>
      <c r="H137" s="470"/>
      <c r="I137" s="467">
        <f t="shared" si="162"/>
        <v>5743129.16</v>
      </c>
      <c r="J137" s="467">
        <v>200000</v>
      </c>
      <c r="K137" s="467">
        <v>0.2</v>
      </c>
      <c r="L137" s="467">
        <f t="shared" si="163"/>
        <v>1148625.832</v>
      </c>
      <c r="M137" s="467">
        <f t="shared" si="164"/>
        <v>1348625.832</v>
      </c>
      <c r="N137" s="467">
        <f t="shared" si="165"/>
        <v>1785419.672</v>
      </c>
      <c r="O137" s="467">
        <f t="shared" si="166"/>
        <v>4394503.328</v>
      </c>
      <c r="P137" s="467">
        <f t="shared" si="167"/>
        <v>21000</v>
      </c>
      <c r="Q137" s="467">
        <f t="shared" si="168"/>
        <v>33000</v>
      </c>
      <c r="R137" s="467">
        <f t="shared" si="169"/>
        <v>75000</v>
      </c>
      <c r="S137" s="467">
        <f t="shared" si="170"/>
        <v>95000</v>
      </c>
      <c r="T137" s="467">
        <f t="shared" si="171"/>
        <v>336000</v>
      </c>
      <c r="U137" s="467">
        <f t="shared" si="172"/>
        <v>286680.798719999</v>
      </c>
      <c r="V137" s="467">
        <f t="shared" si="173"/>
        <v>846680.798719999</v>
      </c>
      <c r="W137" s="474">
        <v>12</v>
      </c>
      <c r="X137" s="467">
        <f t="shared" si="174"/>
        <v>70556.7332266666</v>
      </c>
      <c r="Y137" s="470"/>
      <c r="Z137" s="929">
        <f t="shared" si="175"/>
        <v>70556.7332266666</v>
      </c>
      <c r="AA137" s="806">
        <v>52631.1146666667</v>
      </c>
      <c r="AB137" s="806">
        <f t="shared" si="176"/>
        <v>17925.6185599999</v>
      </c>
      <c r="AC137" s="479"/>
      <c r="AD137" s="479"/>
      <c r="AE137" s="479"/>
    </row>
    <row r="138" ht="15.5" spans="1:31">
      <c r="A138" s="464">
        <v>122</v>
      </c>
      <c r="B138" s="643" t="s">
        <v>322</v>
      </c>
      <c r="C138" s="467">
        <v>501159</v>
      </c>
      <c r="D138" s="466">
        <v>12</v>
      </c>
      <c r="E138" s="467">
        <f t="shared" si="161"/>
        <v>6013908</v>
      </c>
      <c r="F138" s="467"/>
      <c r="G138" s="468">
        <v>423512.64</v>
      </c>
      <c r="H138" s="470"/>
      <c r="I138" s="467">
        <f t="shared" si="162"/>
        <v>5590395.36</v>
      </c>
      <c r="J138" s="467">
        <v>200000</v>
      </c>
      <c r="K138" s="467">
        <v>0.2</v>
      </c>
      <c r="L138" s="467">
        <f t="shared" si="163"/>
        <v>1118079.072</v>
      </c>
      <c r="M138" s="467">
        <f t="shared" si="164"/>
        <v>1318079.072</v>
      </c>
      <c r="N138" s="467">
        <f t="shared" si="165"/>
        <v>1741591.712</v>
      </c>
      <c r="O138" s="467">
        <f t="shared" si="166"/>
        <v>4272316.288</v>
      </c>
      <c r="P138" s="467">
        <f t="shared" si="167"/>
        <v>21000</v>
      </c>
      <c r="Q138" s="467">
        <f t="shared" si="168"/>
        <v>33000</v>
      </c>
      <c r="R138" s="467">
        <f t="shared" si="169"/>
        <v>75000</v>
      </c>
      <c r="S138" s="467">
        <f t="shared" si="170"/>
        <v>95000</v>
      </c>
      <c r="T138" s="467">
        <f t="shared" si="171"/>
        <v>336000</v>
      </c>
      <c r="U138" s="467">
        <f t="shared" si="172"/>
        <v>257355.90912</v>
      </c>
      <c r="V138" s="467">
        <f t="shared" si="173"/>
        <v>817355.90912</v>
      </c>
      <c r="W138" s="474">
        <v>12</v>
      </c>
      <c r="X138" s="467">
        <f t="shared" si="174"/>
        <v>68112.9924266667</v>
      </c>
      <c r="Y138" s="470"/>
      <c r="Z138" s="929">
        <f t="shared" si="175"/>
        <v>68112.9924266667</v>
      </c>
      <c r="AA138" s="806">
        <v>52631.1146666667</v>
      </c>
      <c r="AB138" s="806">
        <f t="shared" si="176"/>
        <v>15481.87776</v>
      </c>
      <c r="AC138" s="479"/>
      <c r="AD138" s="479"/>
      <c r="AE138" s="479"/>
    </row>
    <row r="139" ht="15.5" spans="1:31">
      <c r="A139" s="464">
        <v>123</v>
      </c>
      <c r="B139" s="643" t="s">
        <v>323</v>
      </c>
      <c r="C139" s="467">
        <v>501159</v>
      </c>
      <c r="D139" s="466">
        <v>12</v>
      </c>
      <c r="E139" s="467">
        <f t="shared" si="161"/>
        <v>6013908</v>
      </c>
      <c r="F139" s="467">
        <v>83469.375</v>
      </c>
      <c r="G139" s="468">
        <v>423512.64</v>
      </c>
      <c r="H139" s="470"/>
      <c r="I139" s="467">
        <f t="shared" si="162"/>
        <v>5506925.985</v>
      </c>
      <c r="J139" s="467">
        <v>200000</v>
      </c>
      <c r="K139" s="467">
        <v>0.2</v>
      </c>
      <c r="L139" s="467">
        <f t="shared" si="163"/>
        <v>1101385.197</v>
      </c>
      <c r="M139" s="467">
        <f t="shared" si="164"/>
        <v>1301385.197</v>
      </c>
      <c r="N139" s="467">
        <f t="shared" si="165"/>
        <v>1808367.212</v>
      </c>
      <c r="O139" s="467">
        <f t="shared" si="166"/>
        <v>4205540.788</v>
      </c>
      <c r="P139" s="467">
        <f t="shared" si="167"/>
        <v>21000</v>
      </c>
      <c r="Q139" s="467">
        <f t="shared" si="168"/>
        <v>33000</v>
      </c>
      <c r="R139" s="467">
        <f t="shared" si="169"/>
        <v>75000</v>
      </c>
      <c r="S139" s="467">
        <f t="shared" si="170"/>
        <v>95000</v>
      </c>
      <c r="T139" s="467">
        <f t="shared" si="171"/>
        <v>336000</v>
      </c>
      <c r="U139" s="467">
        <f t="shared" si="172"/>
        <v>241329.78912</v>
      </c>
      <c r="V139" s="467">
        <f t="shared" si="173"/>
        <v>801329.78912</v>
      </c>
      <c r="W139" s="474">
        <v>12</v>
      </c>
      <c r="X139" s="467">
        <f t="shared" si="174"/>
        <v>66777.4824266667</v>
      </c>
      <c r="Y139" s="470"/>
      <c r="Z139" s="929">
        <f t="shared" si="175"/>
        <v>66777.4824266667</v>
      </c>
      <c r="AA139" s="806">
        <v>52631.1146666667</v>
      </c>
      <c r="AB139" s="806">
        <f t="shared" si="176"/>
        <v>14146.36776</v>
      </c>
      <c r="AC139" s="479"/>
      <c r="AD139" s="479"/>
      <c r="AE139" s="479"/>
    </row>
    <row r="140" ht="15.5" spans="1:31">
      <c r="A140" s="464">
        <v>124</v>
      </c>
      <c r="B140" s="643" t="s">
        <v>325</v>
      </c>
      <c r="C140" s="467">
        <v>514993.583333333</v>
      </c>
      <c r="D140" s="466">
        <v>12</v>
      </c>
      <c r="E140" s="467">
        <f t="shared" si="161"/>
        <v>6179923</v>
      </c>
      <c r="F140" s="467"/>
      <c r="G140" s="468">
        <v>436793.839999999</v>
      </c>
      <c r="H140" s="470"/>
      <c r="I140" s="467">
        <f t="shared" si="162"/>
        <v>5743129.16</v>
      </c>
      <c r="J140" s="467">
        <v>200000</v>
      </c>
      <c r="K140" s="467">
        <v>0.2</v>
      </c>
      <c r="L140" s="467">
        <f t="shared" si="163"/>
        <v>1148625.832</v>
      </c>
      <c r="M140" s="467">
        <f t="shared" si="164"/>
        <v>1348625.832</v>
      </c>
      <c r="N140" s="467">
        <f t="shared" si="165"/>
        <v>1785419.672</v>
      </c>
      <c r="O140" s="467">
        <f t="shared" si="166"/>
        <v>4394503.328</v>
      </c>
      <c r="P140" s="467">
        <f t="shared" si="167"/>
        <v>21000</v>
      </c>
      <c r="Q140" s="467">
        <f t="shared" si="168"/>
        <v>33000</v>
      </c>
      <c r="R140" s="467">
        <f t="shared" si="169"/>
        <v>75000</v>
      </c>
      <c r="S140" s="467">
        <f t="shared" si="170"/>
        <v>95000</v>
      </c>
      <c r="T140" s="467">
        <f t="shared" si="171"/>
        <v>336000</v>
      </c>
      <c r="U140" s="467">
        <f t="shared" si="172"/>
        <v>286680.798719999</v>
      </c>
      <c r="V140" s="467">
        <f t="shared" si="173"/>
        <v>846680.798719999</v>
      </c>
      <c r="W140" s="474">
        <v>12</v>
      </c>
      <c r="X140" s="467">
        <f t="shared" si="174"/>
        <v>70556.7332266666</v>
      </c>
      <c r="Y140" s="470"/>
      <c r="Z140" s="929">
        <f t="shared" si="175"/>
        <v>70556.7332266666</v>
      </c>
      <c r="AA140" s="806">
        <v>52631.1146666667</v>
      </c>
      <c r="AB140" s="806">
        <f t="shared" si="176"/>
        <v>17925.6185599999</v>
      </c>
      <c r="AC140" s="479"/>
      <c r="AD140" s="479"/>
      <c r="AE140" s="479"/>
    </row>
    <row r="141" ht="15.5" spans="1:31">
      <c r="A141" s="464">
        <v>125</v>
      </c>
      <c r="B141" s="643" t="s">
        <v>326</v>
      </c>
      <c r="C141" s="467">
        <v>450135.833333334</v>
      </c>
      <c r="D141" s="466">
        <v>12</v>
      </c>
      <c r="E141" s="467">
        <f t="shared" si="161"/>
        <v>5401630.00000001</v>
      </c>
      <c r="F141" s="467"/>
      <c r="G141" s="468">
        <v>374530.4</v>
      </c>
      <c r="H141" s="470"/>
      <c r="I141" s="467">
        <f t="shared" si="162"/>
        <v>5027099.60000001</v>
      </c>
      <c r="J141" s="467">
        <v>200000</v>
      </c>
      <c r="K141" s="467">
        <v>0.2</v>
      </c>
      <c r="L141" s="467">
        <f t="shared" si="163"/>
        <v>1005419.92</v>
      </c>
      <c r="M141" s="467">
        <f t="shared" si="164"/>
        <v>1205419.92</v>
      </c>
      <c r="N141" s="467">
        <f t="shared" si="165"/>
        <v>1579950.32</v>
      </c>
      <c r="O141" s="467">
        <f t="shared" si="166"/>
        <v>3821679.68000001</v>
      </c>
      <c r="P141" s="467">
        <f t="shared" si="167"/>
        <v>21000</v>
      </c>
      <c r="Q141" s="467">
        <f t="shared" si="168"/>
        <v>33000</v>
      </c>
      <c r="R141" s="467">
        <f t="shared" si="169"/>
        <v>75000</v>
      </c>
      <c r="S141" s="467">
        <f t="shared" si="170"/>
        <v>95000</v>
      </c>
      <c r="T141" s="467">
        <f t="shared" si="171"/>
        <v>336000</v>
      </c>
      <c r="U141" s="467">
        <f t="shared" si="172"/>
        <v>149203.123200002</v>
      </c>
      <c r="V141" s="467">
        <f t="shared" si="173"/>
        <v>709203.123200002</v>
      </c>
      <c r="W141" s="474">
        <v>12</v>
      </c>
      <c r="X141" s="467">
        <f t="shared" si="174"/>
        <v>59100.2602666668</v>
      </c>
      <c r="Y141" s="470"/>
      <c r="Z141" s="929">
        <f t="shared" si="175"/>
        <v>59100.2602666668</v>
      </c>
      <c r="AA141" s="806">
        <v>43763.9072266667</v>
      </c>
      <c r="AB141" s="806">
        <f t="shared" si="176"/>
        <v>15336.3530400001</v>
      </c>
      <c r="AC141" s="479"/>
      <c r="AD141" s="479"/>
      <c r="AE141" s="479"/>
    </row>
    <row r="142" ht="31" spans="1:31">
      <c r="A142" s="464">
        <v>126</v>
      </c>
      <c r="B142" s="643" t="s">
        <v>328</v>
      </c>
      <c r="C142" s="467">
        <v>407016.166666666</v>
      </c>
      <c r="D142" s="466">
        <v>12</v>
      </c>
      <c r="E142" s="467">
        <f t="shared" si="161"/>
        <v>4884193.99999999</v>
      </c>
      <c r="F142" s="467"/>
      <c r="G142" s="468">
        <v>333135.52</v>
      </c>
      <c r="H142" s="470"/>
      <c r="I142" s="467">
        <f t="shared" si="162"/>
        <v>4551058.47999999</v>
      </c>
      <c r="J142" s="467">
        <v>200000</v>
      </c>
      <c r="K142" s="467">
        <v>0.2</v>
      </c>
      <c r="L142" s="467">
        <f t="shared" si="163"/>
        <v>910211.695999998</v>
      </c>
      <c r="M142" s="467">
        <f t="shared" si="164"/>
        <v>1110211.696</v>
      </c>
      <c r="N142" s="467">
        <f t="shared" si="165"/>
        <v>1443347.216</v>
      </c>
      <c r="O142" s="467">
        <f t="shared" si="166"/>
        <v>3440846.78399999</v>
      </c>
      <c r="P142" s="467">
        <f t="shared" si="167"/>
        <v>21000</v>
      </c>
      <c r="Q142" s="467">
        <f t="shared" si="168"/>
        <v>33000</v>
      </c>
      <c r="R142" s="467">
        <f t="shared" si="169"/>
        <v>75000</v>
      </c>
      <c r="S142" s="467">
        <f t="shared" si="170"/>
        <v>95000</v>
      </c>
      <c r="T142" s="467">
        <f t="shared" si="171"/>
        <v>336000</v>
      </c>
      <c r="U142" s="467">
        <f t="shared" si="172"/>
        <v>57803.2281599984</v>
      </c>
      <c r="V142" s="467">
        <f t="shared" si="173"/>
        <v>617803.228159998</v>
      </c>
      <c r="W142" s="474">
        <v>12</v>
      </c>
      <c r="X142" s="467">
        <f t="shared" si="174"/>
        <v>51483.6023466665</v>
      </c>
      <c r="Y142" s="470"/>
      <c r="Z142" s="929">
        <f t="shared" si="175"/>
        <v>51483.6023466665</v>
      </c>
      <c r="AA142" s="806">
        <v>37921.5005866667</v>
      </c>
      <c r="AB142" s="806">
        <f t="shared" si="176"/>
        <v>13562.1017599998</v>
      </c>
      <c r="AC142" s="479"/>
      <c r="AD142" s="479"/>
      <c r="AE142" s="479"/>
    </row>
    <row r="143" ht="15.5" spans="1:31">
      <c r="A143" s="464">
        <v>127</v>
      </c>
      <c r="B143" s="643" t="s">
        <v>330</v>
      </c>
      <c r="C143" s="467">
        <v>516564.75</v>
      </c>
      <c r="D143" s="466">
        <v>12</v>
      </c>
      <c r="E143" s="467">
        <f t="shared" si="161"/>
        <v>6198777</v>
      </c>
      <c r="F143" s="467"/>
      <c r="G143" s="468">
        <v>438302.16</v>
      </c>
      <c r="H143" s="470"/>
      <c r="I143" s="467">
        <f t="shared" si="162"/>
        <v>5760474.84</v>
      </c>
      <c r="J143" s="467">
        <v>200000</v>
      </c>
      <c r="K143" s="467">
        <v>0.2</v>
      </c>
      <c r="L143" s="467">
        <f t="shared" si="163"/>
        <v>1152094.968</v>
      </c>
      <c r="M143" s="467">
        <f t="shared" si="164"/>
        <v>1352094.968</v>
      </c>
      <c r="N143" s="467">
        <f t="shared" si="165"/>
        <v>1790397.128</v>
      </c>
      <c r="O143" s="467">
        <f t="shared" si="166"/>
        <v>4408379.872</v>
      </c>
      <c r="P143" s="467">
        <f t="shared" si="167"/>
        <v>21000</v>
      </c>
      <c r="Q143" s="467">
        <f t="shared" si="168"/>
        <v>33000</v>
      </c>
      <c r="R143" s="467">
        <f t="shared" si="169"/>
        <v>75000</v>
      </c>
      <c r="S143" s="467">
        <f t="shared" si="170"/>
        <v>95000</v>
      </c>
      <c r="T143" s="467">
        <f t="shared" si="171"/>
        <v>336000</v>
      </c>
      <c r="U143" s="467">
        <f t="shared" si="172"/>
        <v>290011.16928</v>
      </c>
      <c r="V143" s="467">
        <f t="shared" si="173"/>
        <v>850011.16928</v>
      </c>
      <c r="W143" s="474">
        <v>12</v>
      </c>
      <c r="X143" s="467">
        <f t="shared" si="174"/>
        <v>70834.2641066667</v>
      </c>
      <c r="Y143" s="470"/>
      <c r="Z143" s="929">
        <f t="shared" si="175"/>
        <v>70834.2641066667</v>
      </c>
      <c r="AA143" s="806">
        <v>44990.4825066667</v>
      </c>
      <c r="AB143" s="806">
        <f t="shared" si="176"/>
        <v>25843.7816</v>
      </c>
      <c r="AC143" s="479"/>
      <c r="AD143" s="479"/>
      <c r="AE143" s="479"/>
    </row>
    <row r="144" ht="15.5" spans="1:31">
      <c r="A144" s="464">
        <v>128</v>
      </c>
      <c r="B144" s="643" t="s">
        <v>332</v>
      </c>
      <c r="C144" s="467">
        <v>415320.666666667</v>
      </c>
      <c r="D144" s="466">
        <v>12</v>
      </c>
      <c r="E144" s="467">
        <f t="shared" si="161"/>
        <v>4983848</v>
      </c>
      <c r="F144" s="467"/>
      <c r="G144" s="468">
        <v>341107.840000001</v>
      </c>
      <c r="H144" s="470"/>
      <c r="I144" s="467">
        <f t="shared" si="162"/>
        <v>4642740.16</v>
      </c>
      <c r="J144" s="467">
        <v>200000</v>
      </c>
      <c r="K144" s="467">
        <v>0.2</v>
      </c>
      <c r="L144" s="467">
        <f t="shared" si="163"/>
        <v>928548.032000001</v>
      </c>
      <c r="M144" s="467">
        <f t="shared" si="164"/>
        <v>1128548.032</v>
      </c>
      <c r="N144" s="467">
        <f t="shared" si="165"/>
        <v>1469655.872</v>
      </c>
      <c r="O144" s="467">
        <f t="shared" si="166"/>
        <v>3514192.128</v>
      </c>
      <c r="P144" s="467">
        <f t="shared" si="167"/>
        <v>21000</v>
      </c>
      <c r="Q144" s="467">
        <f t="shared" si="168"/>
        <v>33000</v>
      </c>
      <c r="R144" s="467">
        <f t="shared" si="169"/>
        <v>75000</v>
      </c>
      <c r="S144" s="467">
        <f t="shared" si="170"/>
        <v>95000</v>
      </c>
      <c r="T144" s="467">
        <f t="shared" si="171"/>
        <v>336000</v>
      </c>
      <c r="U144" s="467">
        <f t="shared" si="172"/>
        <v>75406.1107200006</v>
      </c>
      <c r="V144" s="467">
        <f t="shared" si="173"/>
        <v>635406.110720001</v>
      </c>
      <c r="W144" s="474">
        <v>12</v>
      </c>
      <c r="X144" s="467">
        <f t="shared" si="174"/>
        <v>52950.5092266667</v>
      </c>
      <c r="Y144" s="470"/>
      <c r="Z144" s="929">
        <f t="shared" si="175"/>
        <v>52950.5092266667</v>
      </c>
      <c r="AA144" s="806">
        <v>39052.3130666667</v>
      </c>
      <c r="AB144" s="806">
        <f t="shared" si="176"/>
        <v>13898.19616</v>
      </c>
      <c r="AC144" s="479"/>
      <c r="AD144" s="479"/>
      <c r="AE144" s="479"/>
    </row>
    <row r="145" ht="15.5" spans="1:31">
      <c r="A145" s="464">
        <v>129</v>
      </c>
      <c r="B145" s="643" t="s">
        <v>334</v>
      </c>
      <c r="C145" s="467">
        <v>516564.75</v>
      </c>
      <c r="D145" s="466">
        <v>12</v>
      </c>
      <c r="E145" s="467">
        <f t="shared" si="161"/>
        <v>6198777</v>
      </c>
      <c r="F145" s="467">
        <v>92670.45</v>
      </c>
      <c r="G145" s="468">
        <v>438302.16</v>
      </c>
      <c r="H145" s="470"/>
      <c r="I145" s="467">
        <f t="shared" si="162"/>
        <v>5667804.39</v>
      </c>
      <c r="J145" s="467">
        <v>200000</v>
      </c>
      <c r="K145" s="467">
        <v>0.2</v>
      </c>
      <c r="L145" s="467">
        <f t="shared" si="163"/>
        <v>1133560.878</v>
      </c>
      <c r="M145" s="467">
        <f t="shared" si="164"/>
        <v>1333560.878</v>
      </c>
      <c r="N145" s="467">
        <f t="shared" si="165"/>
        <v>1864533.488</v>
      </c>
      <c r="O145" s="467">
        <f t="shared" si="166"/>
        <v>4334243.512</v>
      </c>
      <c r="P145" s="467">
        <f t="shared" si="167"/>
        <v>21000</v>
      </c>
      <c r="Q145" s="467">
        <f t="shared" si="168"/>
        <v>33000</v>
      </c>
      <c r="R145" s="467">
        <f t="shared" si="169"/>
        <v>75000</v>
      </c>
      <c r="S145" s="467">
        <f t="shared" si="170"/>
        <v>95000</v>
      </c>
      <c r="T145" s="467">
        <f t="shared" si="171"/>
        <v>336000</v>
      </c>
      <c r="U145" s="467">
        <f t="shared" si="172"/>
        <v>272218.44288</v>
      </c>
      <c r="V145" s="467">
        <f t="shared" si="173"/>
        <v>832218.44288</v>
      </c>
      <c r="W145" s="474">
        <v>12</v>
      </c>
      <c r="X145" s="467">
        <f t="shared" si="174"/>
        <v>69351.5369066667</v>
      </c>
      <c r="Y145" s="470"/>
      <c r="Z145" s="929">
        <f t="shared" si="175"/>
        <v>69351.5369066667</v>
      </c>
      <c r="AA145" s="806">
        <v>44913.6996186667</v>
      </c>
      <c r="AB145" s="806">
        <f t="shared" si="176"/>
        <v>24437.837288</v>
      </c>
      <c r="AC145" s="479"/>
      <c r="AD145" s="479"/>
      <c r="AE145" s="479"/>
    </row>
    <row r="146" ht="15.5" spans="1:31">
      <c r="A146" s="464">
        <v>130</v>
      </c>
      <c r="B146" s="643" t="s">
        <v>335</v>
      </c>
      <c r="C146" s="467">
        <v>415320.666666667</v>
      </c>
      <c r="D146" s="466">
        <v>12</v>
      </c>
      <c r="E146" s="467">
        <f t="shared" si="161"/>
        <v>4983848</v>
      </c>
      <c r="F146" s="467"/>
      <c r="G146" s="468">
        <v>341107.840000001</v>
      </c>
      <c r="H146" s="470"/>
      <c r="I146" s="467">
        <f t="shared" si="162"/>
        <v>4642740.16</v>
      </c>
      <c r="J146" s="467">
        <v>200000</v>
      </c>
      <c r="K146" s="467">
        <v>0.2</v>
      </c>
      <c r="L146" s="467">
        <f t="shared" si="163"/>
        <v>928548.032000001</v>
      </c>
      <c r="M146" s="467">
        <f t="shared" si="164"/>
        <v>1128548.032</v>
      </c>
      <c r="N146" s="467">
        <f t="shared" si="165"/>
        <v>1469655.872</v>
      </c>
      <c r="O146" s="467">
        <f t="shared" si="166"/>
        <v>3514192.128</v>
      </c>
      <c r="P146" s="467">
        <f t="shared" si="167"/>
        <v>21000</v>
      </c>
      <c r="Q146" s="467">
        <f t="shared" si="168"/>
        <v>33000</v>
      </c>
      <c r="R146" s="467">
        <f t="shared" si="169"/>
        <v>75000</v>
      </c>
      <c r="S146" s="467">
        <f t="shared" si="170"/>
        <v>95000</v>
      </c>
      <c r="T146" s="467">
        <f t="shared" si="171"/>
        <v>336000</v>
      </c>
      <c r="U146" s="467">
        <f t="shared" si="172"/>
        <v>75406.1107200006</v>
      </c>
      <c r="V146" s="467">
        <f t="shared" si="173"/>
        <v>635406.110720001</v>
      </c>
      <c r="W146" s="474">
        <v>12</v>
      </c>
      <c r="X146" s="467">
        <f t="shared" si="174"/>
        <v>52950.5092266667</v>
      </c>
      <c r="Y146" s="470"/>
      <c r="Z146" s="929">
        <f t="shared" si="175"/>
        <v>52950.5092266667</v>
      </c>
      <c r="AA146" s="806">
        <v>39052.3130666667</v>
      </c>
      <c r="AB146" s="806">
        <f t="shared" si="176"/>
        <v>13898.19616</v>
      </c>
      <c r="AC146" s="479"/>
      <c r="AD146" s="479"/>
      <c r="AE146" s="479"/>
    </row>
    <row r="147" ht="15.5" spans="1:31">
      <c r="A147" s="464">
        <v>131</v>
      </c>
      <c r="B147" s="351" t="s">
        <v>337</v>
      </c>
      <c r="C147" s="467">
        <v>398711.666666667</v>
      </c>
      <c r="D147" s="466">
        <v>12</v>
      </c>
      <c r="E147" s="467">
        <f t="shared" si="161"/>
        <v>4784540</v>
      </c>
      <c r="F147" s="467"/>
      <c r="G147" s="468">
        <v>325163.200000001</v>
      </c>
      <c r="H147" s="470"/>
      <c r="I147" s="467">
        <f t="shared" si="162"/>
        <v>4459376.8</v>
      </c>
      <c r="J147" s="467">
        <v>200000</v>
      </c>
      <c r="K147" s="467">
        <v>0.2</v>
      </c>
      <c r="L147" s="467">
        <f t="shared" si="163"/>
        <v>891875.360000001</v>
      </c>
      <c r="M147" s="467">
        <f t="shared" si="164"/>
        <v>1091875.36</v>
      </c>
      <c r="N147" s="467">
        <f t="shared" si="165"/>
        <v>1417038.56</v>
      </c>
      <c r="O147" s="467">
        <f t="shared" si="166"/>
        <v>3367501.44</v>
      </c>
      <c r="P147" s="467">
        <f t="shared" si="167"/>
        <v>21000</v>
      </c>
      <c r="Q147" s="467">
        <f t="shared" si="168"/>
        <v>33000</v>
      </c>
      <c r="R147" s="467">
        <f t="shared" si="169"/>
        <v>75000</v>
      </c>
      <c r="S147" s="467">
        <f t="shared" si="170"/>
        <v>95000</v>
      </c>
      <c r="T147" s="467">
        <f t="shared" si="171"/>
        <v>336000</v>
      </c>
      <c r="U147" s="467">
        <f t="shared" si="172"/>
        <v>40200.3456000005</v>
      </c>
      <c r="V147" s="467">
        <f t="shared" si="173"/>
        <v>600200.345600001</v>
      </c>
      <c r="W147" s="474">
        <v>12</v>
      </c>
      <c r="X147" s="467">
        <f t="shared" si="174"/>
        <v>50016.6954666667</v>
      </c>
      <c r="Y147" s="470"/>
      <c r="Z147" s="929">
        <f t="shared" si="175"/>
        <v>50016.6954666667</v>
      </c>
      <c r="AA147" s="806">
        <v>36790.6881066667</v>
      </c>
      <c r="AB147" s="806">
        <f t="shared" si="176"/>
        <v>13226.00736</v>
      </c>
      <c r="AC147" s="479"/>
      <c r="AD147" s="479"/>
      <c r="AE147" s="479"/>
    </row>
    <row r="148" ht="15.5" spans="1:31">
      <c r="A148" s="464">
        <v>132</v>
      </c>
      <c r="B148" s="351" t="s">
        <v>339</v>
      </c>
      <c r="C148" s="467">
        <v>398711.666666667</v>
      </c>
      <c r="D148" s="466">
        <v>12</v>
      </c>
      <c r="E148" s="467">
        <f t="shared" si="161"/>
        <v>4784540</v>
      </c>
      <c r="F148" s="467"/>
      <c r="G148" s="468">
        <v>325163.200000001</v>
      </c>
      <c r="H148" s="470"/>
      <c r="I148" s="467">
        <f t="shared" si="162"/>
        <v>4459376.8</v>
      </c>
      <c r="J148" s="467">
        <v>200000</v>
      </c>
      <c r="K148" s="467">
        <v>0.2</v>
      </c>
      <c r="L148" s="467">
        <f t="shared" si="163"/>
        <v>891875.360000001</v>
      </c>
      <c r="M148" s="467">
        <f t="shared" si="164"/>
        <v>1091875.36</v>
      </c>
      <c r="N148" s="467">
        <f t="shared" si="165"/>
        <v>1417038.56</v>
      </c>
      <c r="O148" s="467">
        <f t="shared" si="166"/>
        <v>3367501.44</v>
      </c>
      <c r="P148" s="467">
        <f t="shared" si="167"/>
        <v>21000</v>
      </c>
      <c r="Q148" s="467">
        <f t="shared" si="168"/>
        <v>33000</v>
      </c>
      <c r="R148" s="467">
        <f t="shared" si="169"/>
        <v>75000</v>
      </c>
      <c r="S148" s="467">
        <f t="shared" si="170"/>
        <v>95000</v>
      </c>
      <c r="T148" s="467">
        <f t="shared" si="171"/>
        <v>336000</v>
      </c>
      <c r="U148" s="467">
        <f t="shared" si="172"/>
        <v>40200.3456000005</v>
      </c>
      <c r="V148" s="467">
        <f t="shared" si="173"/>
        <v>600200.345600001</v>
      </c>
      <c r="W148" s="474">
        <v>12</v>
      </c>
      <c r="X148" s="467">
        <f t="shared" si="174"/>
        <v>50016.6954666667</v>
      </c>
      <c r="Y148" s="470"/>
      <c r="Z148" s="929">
        <f t="shared" si="175"/>
        <v>50016.6954666667</v>
      </c>
      <c r="AA148" s="806">
        <v>35110.6881066667</v>
      </c>
      <c r="AB148" s="806">
        <f t="shared" si="176"/>
        <v>14906.00736</v>
      </c>
      <c r="AC148" s="479"/>
      <c r="AD148" s="479"/>
      <c r="AE148" s="479"/>
    </row>
    <row r="149" ht="15.5" spans="1:31">
      <c r="A149" s="464">
        <v>133</v>
      </c>
      <c r="B149" s="351" t="s">
        <v>345</v>
      </c>
      <c r="C149" s="467">
        <v>351910.75</v>
      </c>
      <c r="D149" s="466">
        <v>12</v>
      </c>
      <c r="E149" s="467">
        <f t="shared" si="161"/>
        <v>4222929</v>
      </c>
      <c r="F149" s="467"/>
      <c r="G149" s="468">
        <v>289834.32</v>
      </c>
      <c r="H149" s="470"/>
      <c r="I149" s="467">
        <f t="shared" si="162"/>
        <v>3933094.68</v>
      </c>
      <c r="J149" s="467">
        <v>200000</v>
      </c>
      <c r="K149" s="467">
        <v>0.2</v>
      </c>
      <c r="L149" s="467">
        <f t="shared" si="163"/>
        <v>786618.936</v>
      </c>
      <c r="M149" s="467">
        <f t="shared" si="164"/>
        <v>986618.936</v>
      </c>
      <c r="N149" s="467">
        <f t="shared" si="165"/>
        <v>1276453.256</v>
      </c>
      <c r="O149" s="467">
        <f t="shared" si="166"/>
        <v>2946475.744</v>
      </c>
      <c r="P149" s="467">
        <f t="shared" si="167"/>
        <v>21000</v>
      </c>
      <c r="Q149" s="467">
        <f t="shared" si="168"/>
        <v>33000</v>
      </c>
      <c r="R149" s="467">
        <f t="shared" si="169"/>
        <v>75000</v>
      </c>
      <c r="S149" s="467">
        <f t="shared" si="170"/>
        <v>95000</v>
      </c>
      <c r="T149" s="467">
        <f t="shared" si="171"/>
        <v>282759.90624</v>
      </c>
      <c r="U149" s="467"/>
      <c r="V149" s="467">
        <f t="shared" si="173"/>
        <v>506759.90624</v>
      </c>
      <c r="W149" s="474">
        <v>12</v>
      </c>
      <c r="X149" s="467">
        <f t="shared" si="174"/>
        <v>42229.9921866667</v>
      </c>
      <c r="Y149" s="470"/>
      <c r="Z149" s="929">
        <f t="shared" si="175"/>
        <v>42229.9921866667</v>
      </c>
      <c r="AA149" s="806">
        <v>30259.1656266667</v>
      </c>
      <c r="AB149" s="806">
        <f t="shared" si="176"/>
        <v>11970.82656</v>
      </c>
      <c r="AC149" s="479"/>
      <c r="AD149" s="479"/>
      <c r="AE149" s="479"/>
    </row>
    <row r="150" ht="15.5" spans="1:31">
      <c r="A150" s="464">
        <v>134</v>
      </c>
      <c r="B150" s="351" t="s">
        <v>347</v>
      </c>
      <c r="C150" s="467">
        <v>351910.75</v>
      </c>
      <c r="D150" s="466">
        <v>12</v>
      </c>
      <c r="E150" s="467">
        <f t="shared" si="161"/>
        <v>4222929</v>
      </c>
      <c r="F150" s="467"/>
      <c r="G150" s="468">
        <v>289834.32</v>
      </c>
      <c r="H150" s="470"/>
      <c r="I150" s="467">
        <f t="shared" si="162"/>
        <v>3933094.68</v>
      </c>
      <c r="J150" s="467">
        <v>200000</v>
      </c>
      <c r="K150" s="467">
        <v>0.2</v>
      </c>
      <c r="L150" s="467">
        <f t="shared" si="163"/>
        <v>786618.936</v>
      </c>
      <c r="M150" s="467">
        <f t="shared" si="164"/>
        <v>986618.936</v>
      </c>
      <c r="N150" s="467">
        <f t="shared" si="165"/>
        <v>1276453.256</v>
      </c>
      <c r="O150" s="467">
        <f t="shared" si="166"/>
        <v>2946475.744</v>
      </c>
      <c r="P150" s="467">
        <f t="shared" si="167"/>
        <v>21000</v>
      </c>
      <c r="Q150" s="467">
        <f t="shared" si="168"/>
        <v>33000</v>
      </c>
      <c r="R150" s="467">
        <f t="shared" si="169"/>
        <v>75000</v>
      </c>
      <c r="S150" s="467">
        <f t="shared" si="170"/>
        <v>95000</v>
      </c>
      <c r="T150" s="467">
        <f t="shared" si="171"/>
        <v>282759.90624</v>
      </c>
      <c r="U150" s="467"/>
      <c r="V150" s="467">
        <f t="shared" si="173"/>
        <v>506759.90624</v>
      </c>
      <c r="W150" s="474">
        <v>12</v>
      </c>
      <c r="X150" s="467">
        <f t="shared" si="174"/>
        <v>42229.9921866667</v>
      </c>
      <c r="Y150" s="470"/>
      <c r="Z150" s="929">
        <f t="shared" si="175"/>
        <v>42229.9921866667</v>
      </c>
      <c r="AA150" s="806">
        <v>30259.1656266667</v>
      </c>
      <c r="AB150" s="806">
        <f t="shared" si="176"/>
        <v>11970.82656</v>
      </c>
      <c r="AC150" s="479"/>
      <c r="AD150" s="479"/>
      <c r="AE150" s="479"/>
    </row>
    <row r="151" ht="15.5" spans="1:31">
      <c r="A151" s="464">
        <v>135</v>
      </c>
      <c r="B151" s="351" t="s">
        <v>349</v>
      </c>
      <c r="C151" s="467">
        <v>351910.75</v>
      </c>
      <c r="D151" s="466">
        <v>12</v>
      </c>
      <c r="E151" s="467">
        <f t="shared" si="161"/>
        <v>4222929</v>
      </c>
      <c r="F151" s="467"/>
      <c r="G151" s="468">
        <v>289834.32</v>
      </c>
      <c r="H151" s="470"/>
      <c r="I151" s="467">
        <f t="shared" si="162"/>
        <v>3933094.68</v>
      </c>
      <c r="J151" s="467">
        <v>200000</v>
      </c>
      <c r="K151" s="467">
        <v>0.2</v>
      </c>
      <c r="L151" s="467">
        <f t="shared" si="163"/>
        <v>786618.936</v>
      </c>
      <c r="M151" s="467">
        <f t="shared" si="164"/>
        <v>986618.936</v>
      </c>
      <c r="N151" s="467">
        <f t="shared" si="165"/>
        <v>1276453.256</v>
      </c>
      <c r="O151" s="467">
        <f t="shared" si="166"/>
        <v>2946475.744</v>
      </c>
      <c r="P151" s="467">
        <f t="shared" si="167"/>
        <v>21000</v>
      </c>
      <c r="Q151" s="467">
        <f t="shared" si="168"/>
        <v>33000</v>
      </c>
      <c r="R151" s="467">
        <f t="shared" si="169"/>
        <v>75000</v>
      </c>
      <c r="S151" s="467">
        <f t="shared" si="170"/>
        <v>95000</v>
      </c>
      <c r="T151" s="467">
        <f t="shared" si="171"/>
        <v>282759.90624</v>
      </c>
      <c r="U151" s="467"/>
      <c r="V151" s="467">
        <f t="shared" si="173"/>
        <v>506759.90624</v>
      </c>
      <c r="W151" s="474">
        <v>12</v>
      </c>
      <c r="X151" s="467">
        <f t="shared" si="174"/>
        <v>42229.9921866667</v>
      </c>
      <c r="Y151" s="470"/>
      <c r="Z151" s="929">
        <f t="shared" si="175"/>
        <v>42229.9921866667</v>
      </c>
      <c r="AA151" s="806">
        <v>30259.1656266667</v>
      </c>
      <c r="AB151" s="806">
        <f t="shared" si="176"/>
        <v>11970.82656</v>
      </c>
      <c r="AC151" s="479"/>
      <c r="AD151" s="479"/>
      <c r="AE151" s="479"/>
    </row>
    <row r="152" ht="15.5" spans="1:31">
      <c r="A152" s="464">
        <v>136</v>
      </c>
      <c r="B152" s="351" t="s">
        <v>351</v>
      </c>
      <c r="C152" s="467">
        <v>358920.666666667</v>
      </c>
      <c r="D152" s="466">
        <v>12</v>
      </c>
      <c r="E152" s="467">
        <f t="shared" si="161"/>
        <v>4307048</v>
      </c>
      <c r="F152" s="467"/>
      <c r="G152" s="468">
        <v>296563.840000001</v>
      </c>
      <c r="H152" s="470"/>
      <c r="I152" s="467">
        <f t="shared" si="162"/>
        <v>4010484.16</v>
      </c>
      <c r="J152" s="467">
        <v>200000</v>
      </c>
      <c r="K152" s="467">
        <v>0.2</v>
      </c>
      <c r="L152" s="467">
        <f t="shared" si="163"/>
        <v>802096.832000001</v>
      </c>
      <c r="M152" s="467">
        <f t="shared" si="164"/>
        <v>1002096.832</v>
      </c>
      <c r="N152" s="467">
        <f t="shared" si="165"/>
        <v>1298660.672</v>
      </c>
      <c r="O152" s="467">
        <f t="shared" si="166"/>
        <v>3008387.328</v>
      </c>
      <c r="P152" s="467">
        <f t="shared" si="167"/>
        <v>21000</v>
      </c>
      <c r="Q152" s="467">
        <f t="shared" si="168"/>
        <v>33000</v>
      </c>
      <c r="R152" s="467">
        <f t="shared" si="169"/>
        <v>75000</v>
      </c>
      <c r="S152" s="467">
        <f t="shared" si="170"/>
        <v>95000</v>
      </c>
      <c r="T152" s="467">
        <f t="shared" si="171"/>
        <v>295761.33888</v>
      </c>
      <c r="U152" s="467"/>
      <c r="V152" s="467">
        <f t="shared" si="173"/>
        <v>519761.33888</v>
      </c>
      <c r="W152" s="474">
        <v>12</v>
      </c>
      <c r="X152" s="467">
        <f t="shared" si="174"/>
        <v>43313.4449066667</v>
      </c>
      <c r="Y152" s="470"/>
      <c r="Z152" s="929">
        <f t="shared" si="175"/>
        <v>43313.4449066667</v>
      </c>
      <c r="AA152" s="806">
        <v>31213.1357066667</v>
      </c>
      <c r="AB152" s="806">
        <f t="shared" si="176"/>
        <v>12100.3092</v>
      </c>
      <c r="AC152" s="479"/>
      <c r="AD152" s="479"/>
      <c r="AE152" s="479"/>
    </row>
    <row r="153" ht="15.5" spans="1:31">
      <c r="A153" s="464">
        <v>137</v>
      </c>
      <c r="B153" s="351" t="s">
        <v>352</v>
      </c>
      <c r="C153" s="467">
        <v>351910.75</v>
      </c>
      <c r="D153" s="466">
        <v>12</v>
      </c>
      <c r="E153" s="467">
        <f t="shared" si="161"/>
        <v>4222929</v>
      </c>
      <c r="F153" s="467"/>
      <c r="G153" s="468">
        <v>289834.32</v>
      </c>
      <c r="H153" s="470"/>
      <c r="I153" s="467">
        <f t="shared" si="162"/>
        <v>3933094.68</v>
      </c>
      <c r="J153" s="467">
        <v>200000</v>
      </c>
      <c r="K153" s="467">
        <v>0.2</v>
      </c>
      <c r="L153" s="467">
        <f t="shared" si="163"/>
        <v>786618.936</v>
      </c>
      <c r="M153" s="467">
        <f t="shared" si="164"/>
        <v>986618.936</v>
      </c>
      <c r="N153" s="467">
        <f t="shared" si="165"/>
        <v>1276453.256</v>
      </c>
      <c r="O153" s="467">
        <f t="shared" si="166"/>
        <v>2946475.744</v>
      </c>
      <c r="P153" s="467">
        <f t="shared" si="167"/>
        <v>21000</v>
      </c>
      <c r="Q153" s="467">
        <f t="shared" si="168"/>
        <v>33000</v>
      </c>
      <c r="R153" s="467">
        <f t="shared" si="169"/>
        <v>75000</v>
      </c>
      <c r="S153" s="467">
        <f t="shared" si="170"/>
        <v>95000</v>
      </c>
      <c r="T153" s="467">
        <f t="shared" si="171"/>
        <v>282759.90624</v>
      </c>
      <c r="U153" s="467"/>
      <c r="V153" s="467">
        <f t="shared" si="173"/>
        <v>506759.90624</v>
      </c>
      <c r="W153" s="474">
        <v>12</v>
      </c>
      <c r="X153" s="467">
        <f t="shared" si="174"/>
        <v>42229.9921866667</v>
      </c>
      <c r="Y153" s="470"/>
      <c r="Z153" s="929">
        <f t="shared" si="175"/>
        <v>42229.9921866667</v>
      </c>
      <c r="AA153" s="806">
        <v>30259.1656266667</v>
      </c>
      <c r="AB153" s="806">
        <f t="shared" si="176"/>
        <v>11970.82656</v>
      </c>
      <c r="AC153" s="479"/>
      <c r="AD153" s="479"/>
      <c r="AE153" s="479"/>
    </row>
    <row r="154" ht="15.5" spans="1:31">
      <c r="A154" s="464">
        <v>138</v>
      </c>
      <c r="B154" s="351" t="s">
        <v>353</v>
      </c>
      <c r="C154" s="467">
        <v>344900.833333334</v>
      </c>
      <c r="D154" s="466">
        <v>12</v>
      </c>
      <c r="E154" s="467">
        <f t="shared" si="161"/>
        <v>4138810.00000001</v>
      </c>
      <c r="F154" s="467"/>
      <c r="G154" s="468">
        <v>283104.8</v>
      </c>
      <c r="H154" s="470"/>
      <c r="I154" s="467">
        <f t="shared" si="162"/>
        <v>3855705.20000001</v>
      </c>
      <c r="J154" s="467">
        <v>200000</v>
      </c>
      <c r="K154" s="467">
        <v>0.2</v>
      </c>
      <c r="L154" s="467">
        <f t="shared" si="163"/>
        <v>771141.040000002</v>
      </c>
      <c r="M154" s="467">
        <f t="shared" si="164"/>
        <v>971141.040000002</v>
      </c>
      <c r="N154" s="467">
        <f t="shared" si="165"/>
        <v>1254245.84</v>
      </c>
      <c r="O154" s="467">
        <f t="shared" si="166"/>
        <v>2884564.16000001</v>
      </c>
      <c r="P154" s="467">
        <f t="shared" si="167"/>
        <v>21000</v>
      </c>
      <c r="Q154" s="467">
        <f t="shared" si="168"/>
        <v>33000</v>
      </c>
      <c r="R154" s="467">
        <f t="shared" si="169"/>
        <v>75000</v>
      </c>
      <c r="S154" s="467">
        <f t="shared" si="170"/>
        <v>95000</v>
      </c>
      <c r="T154" s="467">
        <f t="shared" si="171"/>
        <v>269758.473600001</v>
      </c>
      <c r="U154" s="467"/>
      <c r="V154" s="467">
        <f t="shared" si="173"/>
        <v>493758.473600001</v>
      </c>
      <c r="W154" s="474">
        <v>12</v>
      </c>
      <c r="X154" s="467">
        <f t="shared" si="174"/>
        <v>41146.5394666668</v>
      </c>
      <c r="Y154" s="470"/>
      <c r="Z154" s="929">
        <f t="shared" si="175"/>
        <v>41146.5394666668</v>
      </c>
      <c r="AA154" s="806">
        <v>29305.1955466666</v>
      </c>
      <c r="AB154" s="806">
        <f t="shared" si="176"/>
        <v>11841.3439200002</v>
      </c>
      <c r="AC154" s="479"/>
      <c r="AD154" s="479"/>
      <c r="AE154" s="479"/>
    </row>
    <row r="155" ht="15.5" spans="1:31">
      <c r="A155" s="464">
        <v>139</v>
      </c>
      <c r="B155" s="351" t="s">
        <v>355</v>
      </c>
      <c r="C155" s="467">
        <v>344900.833333334</v>
      </c>
      <c r="D155" s="466">
        <v>12</v>
      </c>
      <c r="E155" s="467">
        <f t="shared" si="161"/>
        <v>4138810.00000001</v>
      </c>
      <c r="F155" s="467"/>
      <c r="G155" s="468">
        <v>283104.8</v>
      </c>
      <c r="H155" s="470"/>
      <c r="I155" s="467">
        <f t="shared" si="162"/>
        <v>3855705.20000001</v>
      </c>
      <c r="J155" s="467">
        <v>200000</v>
      </c>
      <c r="K155" s="467">
        <v>0.2</v>
      </c>
      <c r="L155" s="467">
        <f t="shared" si="163"/>
        <v>771141.040000002</v>
      </c>
      <c r="M155" s="467">
        <f t="shared" si="164"/>
        <v>971141.040000002</v>
      </c>
      <c r="N155" s="467">
        <f t="shared" si="165"/>
        <v>1254245.84</v>
      </c>
      <c r="O155" s="467">
        <f t="shared" si="166"/>
        <v>2884564.16000001</v>
      </c>
      <c r="P155" s="467">
        <f t="shared" si="167"/>
        <v>21000</v>
      </c>
      <c r="Q155" s="467">
        <f t="shared" si="168"/>
        <v>33000</v>
      </c>
      <c r="R155" s="467">
        <f t="shared" si="169"/>
        <v>75000</v>
      </c>
      <c r="S155" s="467">
        <f t="shared" si="170"/>
        <v>95000</v>
      </c>
      <c r="T155" s="467">
        <f t="shared" si="171"/>
        <v>269758.473600001</v>
      </c>
      <c r="U155" s="467"/>
      <c r="V155" s="467">
        <f t="shared" si="173"/>
        <v>493758.473600001</v>
      </c>
      <c r="W155" s="474">
        <v>12</v>
      </c>
      <c r="X155" s="467">
        <f t="shared" si="174"/>
        <v>41146.5394666668</v>
      </c>
      <c r="Y155" s="470"/>
      <c r="Z155" s="929">
        <f t="shared" si="175"/>
        <v>41146.5394666668</v>
      </c>
      <c r="AA155" s="806">
        <v>29305.1955466666</v>
      </c>
      <c r="AB155" s="806">
        <f t="shared" si="176"/>
        <v>11841.3439200002</v>
      </c>
      <c r="AC155" s="479"/>
      <c r="AD155" s="479"/>
      <c r="AE155" s="479"/>
    </row>
    <row r="156" ht="15.5" spans="1:31">
      <c r="A156" s="464">
        <v>140</v>
      </c>
      <c r="B156" s="643" t="s">
        <v>361</v>
      </c>
      <c r="C156" s="467">
        <v>271717.166666666</v>
      </c>
      <c r="D156" s="466">
        <v>12</v>
      </c>
      <c r="E156" s="467">
        <f t="shared" si="161"/>
        <v>3260605.99999999</v>
      </c>
      <c r="F156" s="467">
        <v>47786.5749999999</v>
      </c>
      <c r="G156" s="468">
        <v>228208.48</v>
      </c>
      <c r="H156" s="470"/>
      <c r="I156" s="467">
        <f t="shared" si="162"/>
        <v>2984610.94499999</v>
      </c>
      <c r="J156" s="467">
        <v>200000</v>
      </c>
      <c r="K156" s="467">
        <v>0.2</v>
      </c>
      <c r="L156" s="467">
        <f t="shared" si="163"/>
        <v>596922.188999998</v>
      </c>
      <c r="M156" s="467">
        <f t="shared" si="164"/>
        <v>796922.188999998</v>
      </c>
      <c r="N156" s="467">
        <f t="shared" si="165"/>
        <v>1072917.244</v>
      </c>
      <c r="O156" s="467">
        <f t="shared" si="166"/>
        <v>2187688.75599999</v>
      </c>
      <c r="P156" s="467">
        <f t="shared" si="167"/>
        <v>21000</v>
      </c>
      <c r="Q156" s="467">
        <f t="shared" si="168"/>
        <v>33000</v>
      </c>
      <c r="R156" s="467">
        <f t="shared" si="169"/>
        <v>75000</v>
      </c>
      <c r="S156" s="467">
        <f t="shared" si="170"/>
        <v>95000</v>
      </c>
      <c r="T156" s="467">
        <f t="shared" si="171"/>
        <v>123414.638759999</v>
      </c>
      <c r="U156" s="467"/>
      <c r="V156" s="467">
        <f t="shared" si="173"/>
        <v>347414.638759999</v>
      </c>
      <c r="W156" s="474">
        <v>12</v>
      </c>
      <c r="X156" s="467">
        <f t="shared" si="174"/>
        <v>28951.2198966665</v>
      </c>
      <c r="Y156" s="470"/>
      <c r="Z156" s="929">
        <f t="shared" si="175"/>
        <v>28951.2198966665</v>
      </c>
      <c r="AA156" s="806">
        <v>18892.9833866667</v>
      </c>
      <c r="AB156" s="806">
        <f t="shared" si="176"/>
        <v>10058.2365099998</v>
      </c>
      <c r="AC156" s="479"/>
      <c r="AD156" s="479"/>
      <c r="AE156" s="479"/>
    </row>
    <row r="157" ht="15.5" spans="1:31">
      <c r="A157" s="464">
        <v>141</v>
      </c>
      <c r="B157" s="643" t="s">
        <v>364</v>
      </c>
      <c r="C157" s="467">
        <v>274717.166666666</v>
      </c>
      <c r="D157" s="466">
        <v>12</v>
      </c>
      <c r="E157" s="467">
        <f t="shared" si="161"/>
        <v>3296605.99999999</v>
      </c>
      <c r="F157" s="467"/>
      <c r="G157" s="468">
        <v>228208.48</v>
      </c>
      <c r="H157" s="470"/>
      <c r="I157" s="467">
        <f t="shared" si="162"/>
        <v>3068397.51999999</v>
      </c>
      <c r="J157" s="467">
        <v>200000</v>
      </c>
      <c r="K157" s="467">
        <v>0.2</v>
      </c>
      <c r="L157" s="467">
        <f t="shared" si="163"/>
        <v>613679.503999998</v>
      </c>
      <c r="M157" s="467">
        <f t="shared" si="164"/>
        <v>813679.503999998</v>
      </c>
      <c r="N157" s="467">
        <f t="shared" si="165"/>
        <v>1041887.984</v>
      </c>
      <c r="O157" s="467">
        <f t="shared" si="166"/>
        <v>2254718.01599999</v>
      </c>
      <c r="P157" s="467">
        <f t="shared" si="167"/>
        <v>21000</v>
      </c>
      <c r="Q157" s="467">
        <f t="shared" si="168"/>
        <v>33000</v>
      </c>
      <c r="R157" s="467">
        <f t="shared" si="169"/>
        <v>75000</v>
      </c>
      <c r="S157" s="467">
        <f t="shared" si="170"/>
        <v>95000</v>
      </c>
      <c r="T157" s="467">
        <f t="shared" si="171"/>
        <v>137490.783359999</v>
      </c>
      <c r="U157" s="467"/>
      <c r="V157" s="467">
        <f t="shared" si="173"/>
        <v>361490.783359999</v>
      </c>
      <c r="W157" s="474">
        <v>12</v>
      </c>
      <c r="X157" s="467">
        <f t="shared" si="174"/>
        <v>30124.2319466666</v>
      </c>
      <c r="Y157" s="470"/>
      <c r="Z157" s="929">
        <f t="shared" si="175"/>
        <v>30124.2319466666</v>
      </c>
      <c r="AA157" s="806">
        <v>19441.1993066667</v>
      </c>
      <c r="AB157" s="806">
        <f t="shared" si="176"/>
        <v>10683.0326399999</v>
      </c>
      <c r="AC157" s="479"/>
      <c r="AD157" s="479"/>
      <c r="AE157" s="479"/>
    </row>
    <row r="158" ht="15.75" customHeight="1" spans="1:31">
      <c r="A158" s="464">
        <v>142</v>
      </c>
      <c r="B158" s="643" t="s">
        <v>570</v>
      </c>
      <c r="C158" s="467">
        <v>271717.166666666</v>
      </c>
      <c r="D158" s="466">
        <v>12</v>
      </c>
      <c r="E158" s="467">
        <f t="shared" si="161"/>
        <v>3260605.99999999</v>
      </c>
      <c r="F158" s="467"/>
      <c r="G158" s="468">
        <v>228208.48</v>
      </c>
      <c r="H158" s="470"/>
      <c r="I158" s="467">
        <f t="shared" si="162"/>
        <v>3032397.51999999</v>
      </c>
      <c r="J158" s="467">
        <v>200000</v>
      </c>
      <c r="K158" s="467">
        <v>0.2</v>
      </c>
      <c r="L158" s="467">
        <f t="shared" si="163"/>
        <v>606479.503999998</v>
      </c>
      <c r="M158" s="467">
        <f t="shared" si="164"/>
        <v>806479.503999998</v>
      </c>
      <c r="N158" s="467">
        <f t="shared" si="165"/>
        <v>1034687.984</v>
      </c>
      <c r="O158" s="467">
        <f t="shared" si="166"/>
        <v>2225918.01599999</v>
      </c>
      <c r="P158" s="467">
        <f t="shared" si="167"/>
        <v>21000</v>
      </c>
      <c r="Q158" s="467">
        <f t="shared" si="168"/>
        <v>33000</v>
      </c>
      <c r="R158" s="467">
        <f t="shared" si="169"/>
        <v>75000</v>
      </c>
      <c r="S158" s="467">
        <f t="shared" si="170"/>
        <v>95000</v>
      </c>
      <c r="T158" s="467">
        <f t="shared" si="171"/>
        <v>131442.783359999</v>
      </c>
      <c r="U158" s="467"/>
      <c r="V158" s="467">
        <f t="shared" si="173"/>
        <v>355442.783359999</v>
      </c>
      <c r="W158" s="474">
        <v>12</v>
      </c>
      <c r="X158" s="467">
        <f t="shared" si="174"/>
        <v>29620.2319466666</v>
      </c>
      <c r="Y158" s="470"/>
      <c r="Z158" s="929">
        <f t="shared" si="175"/>
        <v>29620.2319466666</v>
      </c>
      <c r="AA158" s="806">
        <v>18937.1993066667</v>
      </c>
      <c r="AB158" s="806">
        <f t="shared" si="176"/>
        <v>10683.0326399999</v>
      </c>
      <c r="AC158" s="479"/>
      <c r="AD158" s="479"/>
      <c r="AE158" s="479"/>
    </row>
    <row r="159" ht="15.5" spans="1:31">
      <c r="A159" s="464">
        <v>143</v>
      </c>
      <c r="B159" s="643" t="s">
        <v>365</v>
      </c>
      <c r="C159" s="467">
        <v>271717.166666666</v>
      </c>
      <c r="D159" s="466">
        <v>12</v>
      </c>
      <c r="E159" s="467">
        <f t="shared" si="161"/>
        <v>3260605.99999999</v>
      </c>
      <c r="F159" s="467">
        <v>47786.5749999999</v>
      </c>
      <c r="G159" s="468">
        <v>228208.48</v>
      </c>
      <c r="H159" s="470"/>
      <c r="I159" s="467">
        <f t="shared" si="162"/>
        <v>2984610.94499999</v>
      </c>
      <c r="J159" s="467">
        <v>200000</v>
      </c>
      <c r="K159" s="467">
        <v>0.2</v>
      </c>
      <c r="L159" s="467">
        <f t="shared" si="163"/>
        <v>596922.188999998</v>
      </c>
      <c r="M159" s="467">
        <f t="shared" si="164"/>
        <v>796922.188999998</v>
      </c>
      <c r="N159" s="467">
        <f t="shared" si="165"/>
        <v>1072917.244</v>
      </c>
      <c r="O159" s="467">
        <f t="shared" si="166"/>
        <v>2187688.75599999</v>
      </c>
      <c r="P159" s="467">
        <f t="shared" si="167"/>
        <v>21000</v>
      </c>
      <c r="Q159" s="467">
        <f t="shared" si="168"/>
        <v>33000</v>
      </c>
      <c r="R159" s="467">
        <f t="shared" si="169"/>
        <v>75000</v>
      </c>
      <c r="S159" s="467">
        <f t="shared" si="170"/>
        <v>95000</v>
      </c>
      <c r="T159" s="467">
        <f t="shared" si="171"/>
        <v>123414.638759999</v>
      </c>
      <c r="U159" s="467"/>
      <c r="V159" s="467">
        <f t="shared" si="173"/>
        <v>347414.638759999</v>
      </c>
      <c r="W159" s="474">
        <v>12</v>
      </c>
      <c r="X159" s="467">
        <f t="shared" si="174"/>
        <v>28951.2198966665</v>
      </c>
      <c r="Y159" s="470"/>
      <c r="Z159" s="929">
        <f t="shared" si="175"/>
        <v>28951.2198966665</v>
      </c>
      <c r="AA159" s="806">
        <v>18892.9833866667</v>
      </c>
      <c r="AB159" s="806">
        <f t="shared" si="176"/>
        <v>10058.2365099998</v>
      </c>
      <c r="AC159" s="479"/>
      <c r="AD159" s="479"/>
      <c r="AE159" s="479"/>
    </row>
    <row r="160" ht="15.5" spans="1:31">
      <c r="A160" s="464">
        <v>144</v>
      </c>
      <c r="B160" s="643" t="s">
        <v>366</v>
      </c>
      <c r="C160" s="467">
        <v>271717.166666666</v>
      </c>
      <c r="D160" s="466">
        <v>12</v>
      </c>
      <c r="E160" s="467">
        <f t="shared" si="161"/>
        <v>3260605.99999999</v>
      </c>
      <c r="F160" s="467"/>
      <c r="G160" s="468">
        <v>228208.48</v>
      </c>
      <c r="H160" s="470"/>
      <c r="I160" s="467">
        <f t="shared" si="162"/>
        <v>3032397.51999999</v>
      </c>
      <c r="J160" s="467">
        <v>200000</v>
      </c>
      <c r="K160" s="467">
        <v>0.2</v>
      </c>
      <c r="L160" s="467">
        <f t="shared" si="163"/>
        <v>606479.503999998</v>
      </c>
      <c r="M160" s="467">
        <f t="shared" si="164"/>
        <v>806479.503999998</v>
      </c>
      <c r="N160" s="467">
        <f t="shared" si="165"/>
        <v>1034687.984</v>
      </c>
      <c r="O160" s="467">
        <f t="shared" si="166"/>
        <v>2225918.01599999</v>
      </c>
      <c r="P160" s="467">
        <f t="shared" si="167"/>
        <v>21000</v>
      </c>
      <c r="Q160" s="467">
        <f t="shared" si="168"/>
        <v>33000</v>
      </c>
      <c r="R160" s="467">
        <f t="shared" si="169"/>
        <v>75000</v>
      </c>
      <c r="S160" s="467">
        <f t="shared" si="170"/>
        <v>95000</v>
      </c>
      <c r="T160" s="467">
        <f t="shared" si="171"/>
        <v>131442.783359999</v>
      </c>
      <c r="U160" s="467"/>
      <c r="V160" s="467">
        <f t="shared" si="173"/>
        <v>355442.783359999</v>
      </c>
      <c r="W160" s="474">
        <v>12</v>
      </c>
      <c r="X160" s="467">
        <f t="shared" si="174"/>
        <v>29620.2319466666</v>
      </c>
      <c r="Y160" s="470"/>
      <c r="Z160" s="929">
        <f t="shared" si="175"/>
        <v>29620.2319466666</v>
      </c>
      <c r="AA160" s="806">
        <v>18937.1993066667</v>
      </c>
      <c r="AB160" s="806">
        <f t="shared" si="176"/>
        <v>10683.0326399999</v>
      </c>
      <c r="AC160" s="479"/>
      <c r="AD160" s="479"/>
      <c r="AE160" s="479"/>
    </row>
    <row r="161" ht="15.5" spans="1:31">
      <c r="A161" s="464">
        <v>145</v>
      </c>
      <c r="B161" s="643" t="s">
        <v>367</v>
      </c>
      <c r="C161" s="467">
        <v>268733.833333334</v>
      </c>
      <c r="D161" s="466">
        <v>12</v>
      </c>
      <c r="E161" s="467">
        <f t="shared" si="161"/>
        <v>3224806.00000001</v>
      </c>
      <c r="F161" s="467"/>
      <c r="G161" s="468">
        <v>222464.48</v>
      </c>
      <c r="H161" s="470"/>
      <c r="I161" s="467">
        <f t="shared" si="162"/>
        <v>3002341.52000001</v>
      </c>
      <c r="J161" s="467">
        <v>200000</v>
      </c>
      <c r="K161" s="467">
        <v>0.2</v>
      </c>
      <c r="L161" s="467">
        <f t="shared" si="163"/>
        <v>600468.304000002</v>
      </c>
      <c r="M161" s="467">
        <f t="shared" si="164"/>
        <v>800468.304000002</v>
      </c>
      <c r="N161" s="467">
        <f t="shared" si="165"/>
        <v>1022932.784</v>
      </c>
      <c r="O161" s="467">
        <f t="shared" si="166"/>
        <v>2201873.21600001</v>
      </c>
      <c r="P161" s="467">
        <f t="shared" si="167"/>
        <v>21000</v>
      </c>
      <c r="Q161" s="467">
        <f t="shared" si="168"/>
        <v>33000</v>
      </c>
      <c r="R161" s="467">
        <f t="shared" si="169"/>
        <v>75000</v>
      </c>
      <c r="S161" s="467">
        <f t="shared" si="170"/>
        <v>95000</v>
      </c>
      <c r="T161" s="467">
        <f t="shared" si="171"/>
        <v>126393.375360001</v>
      </c>
      <c r="U161" s="467"/>
      <c r="V161" s="467">
        <f t="shared" si="173"/>
        <v>350393.375360001</v>
      </c>
      <c r="W161" s="474">
        <v>12</v>
      </c>
      <c r="X161" s="467">
        <f t="shared" si="174"/>
        <v>29199.4479466668</v>
      </c>
      <c r="Y161" s="470"/>
      <c r="Z161" s="929">
        <f t="shared" si="175"/>
        <v>29199.4479466668</v>
      </c>
      <c r="AA161" s="806">
        <v>18631.68944</v>
      </c>
      <c r="AB161" s="806">
        <f t="shared" si="176"/>
        <v>10567.7585066668</v>
      </c>
      <c r="AC161" s="479"/>
      <c r="AD161" s="479"/>
      <c r="AE161" s="479"/>
    </row>
    <row r="162" ht="15.5" spans="1:31">
      <c r="A162" s="464">
        <v>146</v>
      </c>
      <c r="B162" s="643" t="s">
        <v>369</v>
      </c>
      <c r="C162" s="467">
        <v>265733.833333334</v>
      </c>
      <c r="D162" s="466">
        <v>12</v>
      </c>
      <c r="E162" s="467">
        <f t="shared" si="161"/>
        <v>3188806.00000001</v>
      </c>
      <c r="F162" s="467"/>
      <c r="G162" s="468">
        <v>222464.48</v>
      </c>
      <c r="H162" s="470"/>
      <c r="I162" s="467">
        <f t="shared" si="162"/>
        <v>2966341.52000001</v>
      </c>
      <c r="J162" s="467">
        <v>200000</v>
      </c>
      <c r="K162" s="467">
        <v>0.2</v>
      </c>
      <c r="L162" s="467">
        <f t="shared" si="163"/>
        <v>593268.304000002</v>
      </c>
      <c r="M162" s="467">
        <f t="shared" si="164"/>
        <v>793268.304000002</v>
      </c>
      <c r="N162" s="467">
        <f t="shared" si="165"/>
        <v>1015732.784</v>
      </c>
      <c r="O162" s="467">
        <f t="shared" si="166"/>
        <v>2173073.21600001</v>
      </c>
      <c r="P162" s="467">
        <f t="shared" si="167"/>
        <v>21000</v>
      </c>
      <c r="Q162" s="467">
        <f t="shared" si="168"/>
        <v>33000</v>
      </c>
      <c r="R162" s="467">
        <f t="shared" si="169"/>
        <v>75000</v>
      </c>
      <c r="S162" s="467">
        <f t="shared" si="170"/>
        <v>95000</v>
      </c>
      <c r="T162" s="467">
        <f t="shared" si="171"/>
        <v>120345.375360001</v>
      </c>
      <c r="U162" s="467"/>
      <c r="V162" s="467">
        <f t="shared" si="173"/>
        <v>344345.375360001</v>
      </c>
      <c r="W162" s="474">
        <v>12</v>
      </c>
      <c r="X162" s="467">
        <f t="shared" si="174"/>
        <v>28695.4479466668</v>
      </c>
      <c r="Y162" s="470"/>
      <c r="Z162" s="929">
        <f t="shared" si="175"/>
        <v>28695.4479466668</v>
      </c>
      <c r="AA162" s="806">
        <v>18175.68944</v>
      </c>
      <c r="AB162" s="806">
        <f t="shared" si="176"/>
        <v>10519.7585066668</v>
      </c>
      <c r="AC162" s="479"/>
      <c r="AD162" s="479"/>
      <c r="AE162" s="479"/>
    </row>
    <row r="163" ht="15.5" spans="1:31">
      <c r="A163" s="464">
        <v>147</v>
      </c>
      <c r="B163" s="639" t="s">
        <v>370</v>
      </c>
      <c r="C163" s="467">
        <v>268733.833333334</v>
      </c>
      <c r="D163" s="466">
        <v>12</v>
      </c>
      <c r="E163" s="467">
        <f t="shared" si="161"/>
        <v>3224806.00000001</v>
      </c>
      <c r="F163" s="467"/>
      <c r="G163" s="468">
        <v>222464.48</v>
      </c>
      <c r="H163" s="470"/>
      <c r="I163" s="467">
        <f t="shared" si="162"/>
        <v>3002341.52000001</v>
      </c>
      <c r="J163" s="467">
        <v>200000</v>
      </c>
      <c r="K163" s="467">
        <v>0.2</v>
      </c>
      <c r="L163" s="467">
        <f t="shared" si="163"/>
        <v>600468.304000002</v>
      </c>
      <c r="M163" s="467">
        <f t="shared" si="164"/>
        <v>800468.304000002</v>
      </c>
      <c r="N163" s="467">
        <f t="shared" si="165"/>
        <v>1022932.784</v>
      </c>
      <c r="O163" s="467">
        <f t="shared" si="166"/>
        <v>2201873.21600001</v>
      </c>
      <c r="P163" s="467">
        <f t="shared" si="167"/>
        <v>21000</v>
      </c>
      <c r="Q163" s="467">
        <f t="shared" si="168"/>
        <v>33000</v>
      </c>
      <c r="R163" s="467">
        <f t="shared" si="169"/>
        <v>75000</v>
      </c>
      <c r="S163" s="467">
        <f t="shared" si="170"/>
        <v>95000</v>
      </c>
      <c r="T163" s="467">
        <f t="shared" si="171"/>
        <v>126393.375360001</v>
      </c>
      <c r="U163" s="467"/>
      <c r="V163" s="467">
        <f t="shared" si="173"/>
        <v>350393.375360001</v>
      </c>
      <c r="W163" s="474">
        <v>12</v>
      </c>
      <c r="X163" s="467">
        <f t="shared" si="174"/>
        <v>29199.4479466668</v>
      </c>
      <c r="Y163" s="470"/>
      <c r="Z163" s="929">
        <f t="shared" si="175"/>
        <v>29199.4479466668</v>
      </c>
      <c r="AA163" s="806">
        <v>18631.68944</v>
      </c>
      <c r="AB163" s="806">
        <f t="shared" si="176"/>
        <v>10567.7585066668</v>
      </c>
      <c r="AC163" s="479"/>
      <c r="AD163" s="479"/>
      <c r="AE163" s="479"/>
    </row>
    <row r="164" ht="15.5" spans="1:31">
      <c r="A164" s="464">
        <v>148</v>
      </c>
      <c r="B164" s="643" t="s">
        <v>371</v>
      </c>
      <c r="C164" s="467">
        <v>265733.833333334</v>
      </c>
      <c r="D164" s="466">
        <v>12</v>
      </c>
      <c r="E164" s="467">
        <f t="shared" si="161"/>
        <v>3188806.00000001</v>
      </c>
      <c r="F164" s="467"/>
      <c r="G164" s="468">
        <v>222464.48</v>
      </c>
      <c r="H164" s="470"/>
      <c r="I164" s="467">
        <f t="shared" si="162"/>
        <v>2966341.52000001</v>
      </c>
      <c r="J164" s="467">
        <v>200000</v>
      </c>
      <c r="K164" s="467">
        <v>0.2</v>
      </c>
      <c r="L164" s="467">
        <f t="shared" si="163"/>
        <v>593268.304000002</v>
      </c>
      <c r="M164" s="467">
        <f t="shared" si="164"/>
        <v>793268.304000002</v>
      </c>
      <c r="N164" s="467">
        <f t="shared" si="165"/>
        <v>1015732.784</v>
      </c>
      <c r="O164" s="467">
        <f t="shared" si="166"/>
        <v>2173073.21600001</v>
      </c>
      <c r="P164" s="467">
        <f t="shared" si="167"/>
        <v>21000</v>
      </c>
      <c r="Q164" s="467">
        <f t="shared" si="168"/>
        <v>33000</v>
      </c>
      <c r="R164" s="467">
        <f t="shared" si="169"/>
        <v>75000</v>
      </c>
      <c r="S164" s="467">
        <f t="shared" si="170"/>
        <v>95000</v>
      </c>
      <c r="T164" s="467">
        <f t="shared" si="171"/>
        <v>120345.375360001</v>
      </c>
      <c r="U164" s="467"/>
      <c r="V164" s="467">
        <f t="shared" si="173"/>
        <v>344345.375360001</v>
      </c>
      <c r="W164" s="474">
        <v>12</v>
      </c>
      <c r="X164" s="467">
        <f t="shared" si="174"/>
        <v>28695.4479466668</v>
      </c>
      <c r="Y164" s="470"/>
      <c r="Z164" s="929">
        <f t="shared" si="175"/>
        <v>28695.4479466668</v>
      </c>
      <c r="AA164" s="806">
        <v>18175.68944</v>
      </c>
      <c r="AB164" s="806">
        <f t="shared" si="176"/>
        <v>10519.7585066668</v>
      </c>
      <c r="AC164" s="479"/>
      <c r="AD164" s="479"/>
      <c r="AE164" s="479"/>
    </row>
    <row r="165" ht="15.5" spans="1:31">
      <c r="A165" s="464">
        <v>149</v>
      </c>
      <c r="B165" s="351" t="s">
        <v>372</v>
      </c>
      <c r="C165" s="467">
        <v>265733.833333334</v>
      </c>
      <c r="D165" s="466">
        <v>12</v>
      </c>
      <c r="E165" s="467">
        <f t="shared" si="161"/>
        <v>3188806.00000001</v>
      </c>
      <c r="F165" s="467"/>
      <c r="G165" s="468">
        <v>222464.48</v>
      </c>
      <c r="H165" s="470"/>
      <c r="I165" s="467">
        <f t="shared" si="162"/>
        <v>2966341.52000001</v>
      </c>
      <c r="J165" s="467">
        <v>200000</v>
      </c>
      <c r="K165" s="467">
        <v>0.2</v>
      </c>
      <c r="L165" s="467">
        <f t="shared" si="163"/>
        <v>593268.304000002</v>
      </c>
      <c r="M165" s="467">
        <f t="shared" si="164"/>
        <v>793268.304000002</v>
      </c>
      <c r="N165" s="467">
        <f t="shared" si="165"/>
        <v>1015732.784</v>
      </c>
      <c r="O165" s="467">
        <f t="shared" si="166"/>
        <v>2173073.21600001</v>
      </c>
      <c r="P165" s="467">
        <f t="shared" si="167"/>
        <v>21000</v>
      </c>
      <c r="Q165" s="467">
        <f t="shared" si="168"/>
        <v>33000</v>
      </c>
      <c r="R165" s="467">
        <f t="shared" si="169"/>
        <v>75000</v>
      </c>
      <c r="S165" s="467">
        <f t="shared" si="170"/>
        <v>95000</v>
      </c>
      <c r="T165" s="467">
        <f t="shared" si="171"/>
        <v>120345.375360001</v>
      </c>
      <c r="U165" s="467"/>
      <c r="V165" s="467">
        <f t="shared" si="173"/>
        <v>344345.375360001</v>
      </c>
      <c r="W165" s="474">
        <v>12</v>
      </c>
      <c r="X165" s="467">
        <f t="shared" si="174"/>
        <v>28695.4479466668</v>
      </c>
      <c r="Y165" s="470"/>
      <c r="Z165" s="929">
        <f t="shared" si="175"/>
        <v>28695.4479466668</v>
      </c>
      <c r="AA165" s="806">
        <v>18175.68944</v>
      </c>
      <c r="AB165" s="806">
        <f t="shared" si="176"/>
        <v>10519.7585066668</v>
      </c>
      <c r="AC165" s="479"/>
      <c r="AD165" s="479"/>
      <c r="AE165" s="479"/>
    </row>
    <row r="166" ht="15.5" spans="1:31">
      <c r="A166" s="464">
        <v>150</v>
      </c>
      <c r="B166" s="351" t="s">
        <v>359</v>
      </c>
      <c r="C166" s="467">
        <v>268733.833333334</v>
      </c>
      <c r="D166" s="466">
        <v>12</v>
      </c>
      <c r="E166" s="467">
        <f t="shared" si="161"/>
        <v>3224806.00000001</v>
      </c>
      <c r="F166" s="467"/>
      <c r="G166" s="468">
        <v>222464.48</v>
      </c>
      <c r="H166" s="470"/>
      <c r="I166" s="467">
        <f t="shared" si="162"/>
        <v>3002341.52000001</v>
      </c>
      <c r="J166" s="467">
        <v>200000</v>
      </c>
      <c r="K166" s="467">
        <v>0.2</v>
      </c>
      <c r="L166" s="467">
        <f t="shared" si="163"/>
        <v>600468.304000002</v>
      </c>
      <c r="M166" s="467">
        <f t="shared" si="164"/>
        <v>800468.304000002</v>
      </c>
      <c r="N166" s="467">
        <f t="shared" si="165"/>
        <v>1022932.784</v>
      </c>
      <c r="O166" s="467">
        <f t="shared" si="166"/>
        <v>2201873.21600001</v>
      </c>
      <c r="P166" s="467">
        <f t="shared" si="167"/>
        <v>21000</v>
      </c>
      <c r="Q166" s="467">
        <f t="shared" si="168"/>
        <v>33000</v>
      </c>
      <c r="R166" s="467">
        <f t="shared" si="169"/>
        <v>75000</v>
      </c>
      <c r="S166" s="467">
        <f t="shared" si="170"/>
        <v>95000</v>
      </c>
      <c r="T166" s="467">
        <f t="shared" si="171"/>
        <v>126393.375360001</v>
      </c>
      <c r="U166" s="467"/>
      <c r="V166" s="467">
        <f t="shared" si="173"/>
        <v>350393.375360001</v>
      </c>
      <c r="W166" s="474">
        <v>12</v>
      </c>
      <c r="X166" s="467">
        <f t="shared" si="174"/>
        <v>29199.4479466668</v>
      </c>
      <c r="Y166" s="470"/>
      <c r="Z166" s="929">
        <f t="shared" si="175"/>
        <v>29199.4479466668</v>
      </c>
      <c r="AA166" s="806">
        <v>18631.68944</v>
      </c>
      <c r="AB166" s="806">
        <f t="shared" si="176"/>
        <v>10567.7585066668</v>
      </c>
      <c r="AC166" s="479"/>
      <c r="AD166" s="479"/>
      <c r="AE166" s="479"/>
    </row>
    <row r="167" ht="15.5" spans="1:31">
      <c r="A167" s="464">
        <v>151</v>
      </c>
      <c r="B167" s="643" t="s">
        <v>373</v>
      </c>
      <c r="C167" s="467">
        <v>256767.333333333</v>
      </c>
      <c r="D167" s="466">
        <v>12</v>
      </c>
      <c r="E167" s="467">
        <f t="shared" si="161"/>
        <v>3081208</v>
      </c>
      <c r="F167" s="467"/>
      <c r="G167" s="468">
        <v>210976.639999999</v>
      </c>
      <c r="H167" s="470"/>
      <c r="I167" s="467">
        <f t="shared" si="162"/>
        <v>2870231.36</v>
      </c>
      <c r="J167" s="467">
        <v>200000</v>
      </c>
      <c r="K167" s="467">
        <v>0.2</v>
      </c>
      <c r="L167" s="467">
        <f t="shared" si="163"/>
        <v>574046.271999999</v>
      </c>
      <c r="M167" s="467">
        <f t="shared" si="164"/>
        <v>774046.271999999</v>
      </c>
      <c r="N167" s="467">
        <f t="shared" si="165"/>
        <v>985022.911999998</v>
      </c>
      <c r="O167" s="467">
        <f t="shared" si="166"/>
        <v>2096185.088</v>
      </c>
      <c r="P167" s="467">
        <f t="shared" si="167"/>
        <v>21000</v>
      </c>
      <c r="Q167" s="467">
        <f t="shared" si="168"/>
        <v>33000</v>
      </c>
      <c r="R167" s="467">
        <f t="shared" si="169"/>
        <v>75000</v>
      </c>
      <c r="S167" s="467">
        <f t="shared" si="170"/>
        <v>95000</v>
      </c>
      <c r="T167" s="467">
        <f t="shared" si="171"/>
        <v>104198.86848</v>
      </c>
      <c r="U167" s="467"/>
      <c r="V167" s="467">
        <f t="shared" si="173"/>
        <v>328198.868479999</v>
      </c>
      <c r="W167" s="474">
        <v>12</v>
      </c>
      <c r="X167" s="467">
        <f t="shared" si="174"/>
        <v>27349.9057066666</v>
      </c>
      <c r="Y167" s="470"/>
      <c r="Z167" s="929">
        <f t="shared" si="175"/>
        <v>27349.9057066666</v>
      </c>
      <c r="AA167" s="806">
        <v>17160.1997333333</v>
      </c>
      <c r="AB167" s="806">
        <f t="shared" si="176"/>
        <v>10189.7059733333</v>
      </c>
      <c r="AC167" s="479"/>
      <c r="AD167" s="479"/>
      <c r="AE167" s="479"/>
    </row>
    <row r="168" ht="15.5" spans="1:31">
      <c r="A168" s="464">
        <v>152</v>
      </c>
      <c r="B168" s="643" t="s">
        <v>376</v>
      </c>
      <c r="C168" s="467">
        <v>256767.333333333</v>
      </c>
      <c r="D168" s="466">
        <v>12</v>
      </c>
      <c r="E168" s="467">
        <f t="shared" si="161"/>
        <v>3081208</v>
      </c>
      <c r="F168" s="467"/>
      <c r="G168" s="468">
        <v>210976.639999999</v>
      </c>
      <c r="H168" s="470"/>
      <c r="I168" s="467">
        <f t="shared" si="162"/>
        <v>2870231.36</v>
      </c>
      <c r="J168" s="467">
        <v>200000</v>
      </c>
      <c r="K168" s="467">
        <v>0.2</v>
      </c>
      <c r="L168" s="467">
        <f t="shared" si="163"/>
        <v>574046.271999999</v>
      </c>
      <c r="M168" s="467">
        <f t="shared" si="164"/>
        <v>774046.271999999</v>
      </c>
      <c r="N168" s="467">
        <f t="shared" si="165"/>
        <v>985022.911999998</v>
      </c>
      <c r="O168" s="467">
        <f t="shared" si="166"/>
        <v>2096185.088</v>
      </c>
      <c r="P168" s="467">
        <f t="shared" si="167"/>
        <v>21000</v>
      </c>
      <c r="Q168" s="467">
        <f t="shared" si="168"/>
        <v>33000</v>
      </c>
      <c r="R168" s="467">
        <f t="shared" si="169"/>
        <v>75000</v>
      </c>
      <c r="S168" s="467">
        <f t="shared" si="170"/>
        <v>95000</v>
      </c>
      <c r="T168" s="467">
        <f t="shared" si="171"/>
        <v>104198.86848</v>
      </c>
      <c r="U168" s="467"/>
      <c r="V168" s="467">
        <f t="shared" si="173"/>
        <v>328198.868479999</v>
      </c>
      <c r="W168" s="474">
        <v>12</v>
      </c>
      <c r="X168" s="467">
        <f t="shared" si="174"/>
        <v>27349.9057066666</v>
      </c>
      <c r="Y168" s="470"/>
      <c r="Z168" s="929">
        <f t="shared" si="175"/>
        <v>27349.9057066666</v>
      </c>
      <c r="AA168" s="806">
        <v>17160.1997333333</v>
      </c>
      <c r="AB168" s="806">
        <f t="shared" si="176"/>
        <v>10189.7059733333</v>
      </c>
      <c r="AC168" s="479"/>
      <c r="AD168" s="479"/>
      <c r="AE168" s="479"/>
    </row>
    <row r="169" ht="15.5" spans="1:31">
      <c r="A169" s="464">
        <v>153</v>
      </c>
      <c r="B169" s="351" t="s">
        <v>377</v>
      </c>
      <c r="C169" s="467">
        <v>262750.583333333</v>
      </c>
      <c r="D169" s="466">
        <v>12</v>
      </c>
      <c r="E169" s="467">
        <f t="shared" si="161"/>
        <v>3153007</v>
      </c>
      <c r="F169" s="467"/>
      <c r="G169" s="468">
        <v>216720.559999999</v>
      </c>
      <c r="H169" s="470"/>
      <c r="I169" s="467">
        <f t="shared" si="162"/>
        <v>2936286.44</v>
      </c>
      <c r="J169" s="467">
        <v>200000</v>
      </c>
      <c r="K169" s="467">
        <v>0.2</v>
      </c>
      <c r="L169" s="467">
        <f t="shared" si="163"/>
        <v>587257.287999999</v>
      </c>
      <c r="M169" s="467">
        <f t="shared" si="164"/>
        <v>787257.287999999</v>
      </c>
      <c r="N169" s="467">
        <f t="shared" si="165"/>
        <v>1003977.848</v>
      </c>
      <c r="O169" s="467">
        <f t="shared" si="166"/>
        <v>2149029.152</v>
      </c>
      <c r="P169" s="467">
        <f t="shared" si="167"/>
        <v>21000</v>
      </c>
      <c r="Q169" s="467">
        <f t="shared" si="168"/>
        <v>33000</v>
      </c>
      <c r="R169" s="467">
        <f t="shared" si="169"/>
        <v>75000</v>
      </c>
      <c r="S169" s="467">
        <f t="shared" si="170"/>
        <v>95000</v>
      </c>
      <c r="T169" s="467">
        <f t="shared" si="171"/>
        <v>115296.12192</v>
      </c>
      <c r="U169" s="467"/>
      <c r="V169" s="467">
        <f t="shared" si="173"/>
        <v>339296.12192</v>
      </c>
      <c r="W169" s="474">
        <v>12</v>
      </c>
      <c r="X169" s="467">
        <f t="shared" si="174"/>
        <v>28274.6768266666</v>
      </c>
      <c r="Y169" s="470"/>
      <c r="Z169" s="929">
        <f t="shared" si="175"/>
        <v>28274.6768266666</v>
      </c>
      <c r="AA169" s="806">
        <v>17895.9445866667</v>
      </c>
      <c r="AB169" s="806">
        <f t="shared" si="176"/>
        <v>10378.7322399999</v>
      </c>
      <c r="AC169" s="479"/>
      <c r="AD169" s="479"/>
      <c r="AE169" s="479"/>
    </row>
    <row r="170" ht="29.25" customHeight="1" spans="1:31">
      <c r="A170" s="464">
        <v>154</v>
      </c>
      <c r="B170" s="643" t="s">
        <v>379</v>
      </c>
      <c r="C170" s="467">
        <v>240784</v>
      </c>
      <c r="D170" s="466">
        <v>12</v>
      </c>
      <c r="E170" s="467">
        <f t="shared" si="161"/>
        <v>2889408</v>
      </c>
      <c r="F170" s="467"/>
      <c r="G170" s="468">
        <v>205232.64</v>
      </c>
      <c r="H170" s="470"/>
      <c r="I170" s="467">
        <f t="shared" si="162"/>
        <v>2684175.36</v>
      </c>
      <c r="J170" s="467">
        <v>200000</v>
      </c>
      <c r="K170" s="467">
        <v>0.2</v>
      </c>
      <c r="L170" s="467">
        <f t="shared" si="163"/>
        <v>536835.072</v>
      </c>
      <c r="M170" s="467">
        <f t="shared" si="164"/>
        <v>736835.072</v>
      </c>
      <c r="N170" s="467">
        <f t="shared" si="165"/>
        <v>942067.712</v>
      </c>
      <c r="O170" s="467">
        <f t="shared" si="166"/>
        <v>1947340.288</v>
      </c>
      <c r="P170" s="467">
        <f t="shared" si="167"/>
        <v>21000</v>
      </c>
      <c r="Q170" s="467">
        <f t="shared" si="168"/>
        <v>33000</v>
      </c>
      <c r="R170" s="467">
        <f t="shared" si="169"/>
        <v>75000</v>
      </c>
      <c r="S170" s="467">
        <f t="shared" si="170"/>
        <v>95000</v>
      </c>
      <c r="T170" s="467">
        <f t="shared" si="171"/>
        <v>72941.46048</v>
      </c>
      <c r="U170" s="467"/>
      <c r="V170" s="467">
        <f t="shared" si="173"/>
        <v>296941.46048</v>
      </c>
      <c r="W170" s="474">
        <v>12</v>
      </c>
      <c r="X170" s="467">
        <f t="shared" si="174"/>
        <v>24745.1217066667</v>
      </c>
      <c r="Y170" s="470"/>
      <c r="Z170" s="929">
        <f t="shared" si="175"/>
        <v>24745.1217066667</v>
      </c>
      <c r="AA170" s="806">
        <v>17160.1997333333</v>
      </c>
      <c r="AB170" s="806">
        <f t="shared" si="176"/>
        <v>7584.92197333337</v>
      </c>
      <c r="AC170" s="479"/>
      <c r="AD170" s="479"/>
      <c r="AE170" s="479"/>
    </row>
    <row r="171" ht="15.5" spans="1:31">
      <c r="A171" s="464">
        <v>155</v>
      </c>
      <c r="B171" s="643" t="s">
        <v>382</v>
      </c>
      <c r="C171" s="467">
        <v>173356.75</v>
      </c>
      <c r="D171" s="466">
        <v>12</v>
      </c>
      <c r="E171" s="467">
        <f t="shared" si="161"/>
        <v>2080281</v>
      </c>
      <c r="F171" s="467"/>
      <c r="G171" s="468">
        <v>140502.48</v>
      </c>
      <c r="H171" s="470"/>
      <c r="I171" s="467">
        <f t="shared" si="162"/>
        <v>1939778.52</v>
      </c>
      <c r="J171" s="467">
        <v>200000</v>
      </c>
      <c r="K171" s="467">
        <v>0.2</v>
      </c>
      <c r="L171" s="467">
        <f t="shared" si="163"/>
        <v>387955.704</v>
      </c>
      <c r="M171" s="467">
        <f t="shared" si="164"/>
        <v>587955.704</v>
      </c>
      <c r="N171" s="467">
        <f t="shared" si="165"/>
        <v>728458.184</v>
      </c>
      <c r="O171" s="467">
        <f t="shared" si="166"/>
        <v>1351822.816</v>
      </c>
      <c r="P171" s="467">
        <f t="shared" si="167"/>
        <v>21000</v>
      </c>
      <c r="Q171" s="467">
        <f t="shared" si="168"/>
        <v>33000</v>
      </c>
      <c r="R171" s="467">
        <f t="shared" si="169"/>
        <v>75000</v>
      </c>
      <c r="S171" s="467">
        <f t="shared" si="170"/>
        <v>47846.33504</v>
      </c>
      <c r="T171" s="467">
        <f t="shared" si="171"/>
        <v>0</v>
      </c>
      <c r="U171" s="467"/>
      <c r="V171" s="467">
        <f t="shared" si="173"/>
        <v>176846.33504</v>
      </c>
      <c r="W171" s="474">
        <v>12</v>
      </c>
      <c r="X171" s="467">
        <f t="shared" si="174"/>
        <v>14737.1945866667</v>
      </c>
      <c r="Y171" s="470"/>
      <c r="Z171" s="929">
        <f t="shared" si="175"/>
        <v>14737.1945866667</v>
      </c>
      <c r="AA171" s="806">
        <v>7852.4192</v>
      </c>
      <c r="AB171" s="806">
        <f t="shared" si="176"/>
        <v>6884.77538666667</v>
      </c>
      <c r="AC171" s="479"/>
      <c r="AD171" s="479"/>
      <c r="AE171" s="479"/>
    </row>
    <row r="172" ht="15.5" spans="1:31">
      <c r="A172" s="464">
        <v>156</v>
      </c>
      <c r="B172" s="643" t="s">
        <v>383</v>
      </c>
      <c r="C172" s="467">
        <v>170356.75</v>
      </c>
      <c r="D172" s="466">
        <v>12</v>
      </c>
      <c r="E172" s="467">
        <f t="shared" si="161"/>
        <v>2044281</v>
      </c>
      <c r="F172" s="467"/>
      <c r="G172" s="468">
        <v>140502.48</v>
      </c>
      <c r="H172" s="470"/>
      <c r="I172" s="467">
        <f t="shared" si="162"/>
        <v>1903778.52</v>
      </c>
      <c r="J172" s="467">
        <v>200000</v>
      </c>
      <c r="K172" s="467">
        <v>0.2</v>
      </c>
      <c r="L172" s="467">
        <f t="shared" si="163"/>
        <v>380755.704</v>
      </c>
      <c r="M172" s="467">
        <f t="shared" si="164"/>
        <v>580755.704</v>
      </c>
      <c r="N172" s="467">
        <f t="shared" si="165"/>
        <v>721258.184</v>
      </c>
      <c r="O172" s="467">
        <f t="shared" si="166"/>
        <v>1323022.816</v>
      </c>
      <c r="P172" s="467">
        <f t="shared" si="167"/>
        <v>21000</v>
      </c>
      <c r="Q172" s="467">
        <f t="shared" si="168"/>
        <v>33000</v>
      </c>
      <c r="R172" s="467">
        <f t="shared" si="169"/>
        <v>75000</v>
      </c>
      <c r="S172" s="467">
        <f t="shared" si="170"/>
        <v>42374.33504</v>
      </c>
      <c r="T172" s="467">
        <f t="shared" si="171"/>
        <v>0</v>
      </c>
      <c r="U172" s="467"/>
      <c r="V172" s="467">
        <f t="shared" si="173"/>
        <v>171374.33504</v>
      </c>
      <c r="W172" s="474">
        <v>12</v>
      </c>
      <c r="X172" s="467">
        <f t="shared" si="174"/>
        <v>14281.1945866667</v>
      </c>
      <c r="Y172" s="470"/>
      <c r="Z172" s="929">
        <f t="shared" si="175"/>
        <v>14281.1945866667</v>
      </c>
      <c r="AA172" s="806">
        <v>7492.4192</v>
      </c>
      <c r="AB172" s="806">
        <f t="shared" si="176"/>
        <v>6788.77538666667</v>
      </c>
      <c r="AC172" s="479"/>
      <c r="AD172" s="479"/>
      <c r="AE172" s="479"/>
    </row>
    <row r="173" ht="15.5" spans="1:31">
      <c r="A173" s="464">
        <v>157</v>
      </c>
      <c r="B173" s="643" t="s">
        <v>384</v>
      </c>
      <c r="C173" s="467">
        <v>173356.75</v>
      </c>
      <c r="D173" s="466">
        <v>12</v>
      </c>
      <c r="E173" s="467">
        <f t="shared" si="161"/>
        <v>2080281</v>
      </c>
      <c r="F173" s="467"/>
      <c r="G173" s="468">
        <v>140502.48</v>
      </c>
      <c r="H173" s="470"/>
      <c r="I173" s="467">
        <f t="shared" si="162"/>
        <v>1939778.52</v>
      </c>
      <c r="J173" s="467">
        <v>200000</v>
      </c>
      <c r="K173" s="467">
        <v>0.2</v>
      </c>
      <c r="L173" s="467">
        <f t="shared" si="163"/>
        <v>387955.704</v>
      </c>
      <c r="M173" s="467">
        <f t="shared" si="164"/>
        <v>587955.704</v>
      </c>
      <c r="N173" s="467">
        <f t="shared" si="165"/>
        <v>728458.184</v>
      </c>
      <c r="O173" s="467">
        <f t="shared" si="166"/>
        <v>1351822.816</v>
      </c>
      <c r="P173" s="467">
        <f t="shared" si="167"/>
        <v>21000</v>
      </c>
      <c r="Q173" s="467">
        <f t="shared" si="168"/>
        <v>33000</v>
      </c>
      <c r="R173" s="467">
        <f t="shared" si="169"/>
        <v>75000</v>
      </c>
      <c r="S173" s="467">
        <f t="shared" si="170"/>
        <v>47846.33504</v>
      </c>
      <c r="T173" s="467">
        <f t="shared" si="171"/>
        <v>0</v>
      </c>
      <c r="U173" s="467"/>
      <c r="V173" s="467">
        <f t="shared" si="173"/>
        <v>176846.33504</v>
      </c>
      <c r="W173" s="474">
        <v>12</v>
      </c>
      <c r="X173" s="467">
        <f t="shared" si="174"/>
        <v>14737.1945866667</v>
      </c>
      <c r="Y173" s="470"/>
      <c r="Z173" s="929">
        <f t="shared" si="175"/>
        <v>14737.1945866667</v>
      </c>
      <c r="AA173" s="806">
        <v>7852.4192</v>
      </c>
      <c r="AB173" s="806">
        <f t="shared" si="176"/>
        <v>6884.77538666667</v>
      </c>
      <c r="AC173" s="479"/>
      <c r="AD173" s="479"/>
      <c r="AE173" s="479"/>
    </row>
    <row r="174" ht="15.5" spans="1:31">
      <c r="A174" s="475"/>
      <c r="B174" s="643" t="s">
        <v>385</v>
      </c>
      <c r="C174" s="483">
        <v>170356.75</v>
      </c>
      <c r="D174" s="466">
        <v>12</v>
      </c>
      <c r="E174" s="467">
        <f t="shared" si="161"/>
        <v>2044281</v>
      </c>
      <c r="F174" s="467"/>
      <c r="G174" s="468">
        <v>140502.48</v>
      </c>
      <c r="H174" s="470"/>
      <c r="I174" s="467">
        <f t="shared" si="162"/>
        <v>1903778.52</v>
      </c>
      <c r="J174" s="467">
        <v>200000</v>
      </c>
      <c r="K174" s="467">
        <v>0.2</v>
      </c>
      <c r="L174" s="467">
        <f t="shared" si="163"/>
        <v>380755.704</v>
      </c>
      <c r="M174" s="467">
        <f t="shared" si="164"/>
        <v>580755.704</v>
      </c>
      <c r="N174" s="467">
        <f t="shared" si="165"/>
        <v>721258.184</v>
      </c>
      <c r="O174" s="467">
        <f t="shared" si="166"/>
        <v>1323022.816</v>
      </c>
      <c r="P174" s="467">
        <f t="shared" si="167"/>
        <v>21000</v>
      </c>
      <c r="Q174" s="467">
        <f t="shared" si="168"/>
        <v>33000</v>
      </c>
      <c r="R174" s="467">
        <f t="shared" si="169"/>
        <v>75000</v>
      </c>
      <c r="S174" s="467">
        <f t="shared" si="170"/>
        <v>42374.33504</v>
      </c>
      <c r="T174" s="467">
        <f t="shared" si="171"/>
        <v>0</v>
      </c>
      <c r="U174" s="467"/>
      <c r="V174" s="467">
        <f t="shared" si="173"/>
        <v>171374.33504</v>
      </c>
      <c r="W174" s="474">
        <v>12</v>
      </c>
      <c r="X174" s="467">
        <f t="shared" si="174"/>
        <v>14281.1945866667</v>
      </c>
      <c r="Y174" s="470"/>
      <c r="Z174" s="929">
        <f t="shared" si="175"/>
        <v>14281.1945866667</v>
      </c>
      <c r="AA174" s="806">
        <v>7492.4192</v>
      </c>
      <c r="AB174" s="806">
        <f t="shared" si="176"/>
        <v>6788.77538666667</v>
      </c>
      <c r="AC174" s="479"/>
      <c r="AD174" s="479"/>
      <c r="AE174" s="479"/>
    </row>
    <row r="175" ht="15.5" spans="1:28">
      <c r="A175" s="475"/>
      <c r="B175" s="643" t="s">
        <v>386</v>
      </c>
      <c r="C175" s="483">
        <v>173356.75</v>
      </c>
      <c r="D175" s="466">
        <v>12</v>
      </c>
      <c r="E175" s="467">
        <f t="shared" si="161"/>
        <v>2080281</v>
      </c>
      <c r="F175" s="467"/>
      <c r="G175" s="468">
        <v>140502.48</v>
      </c>
      <c r="H175" s="470"/>
      <c r="I175" s="467">
        <f t="shared" si="162"/>
        <v>1939778.52</v>
      </c>
      <c r="J175" s="467">
        <v>200000</v>
      </c>
      <c r="K175" s="467">
        <v>0.2</v>
      </c>
      <c r="L175" s="467">
        <f t="shared" si="163"/>
        <v>387955.704</v>
      </c>
      <c r="M175" s="467">
        <f t="shared" si="164"/>
        <v>587955.704</v>
      </c>
      <c r="N175" s="467">
        <f t="shared" si="165"/>
        <v>728458.184</v>
      </c>
      <c r="O175" s="467">
        <f t="shared" si="166"/>
        <v>1351822.816</v>
      </c>
      <c r="P175" s="467">
        <f t="shared" si="167"/>
        <v>21000</v>
      </c>
      <c r="Q175" s="467">
        <f t="shared" si="168"/>
        <v>33000</v>
      </c>
      <c r="R175" s="467">
        <f t="shared" si="169"/>
        <v>75000</v>
      </c>
      <c r="S175" s="467">
        <f t="shared" si="170"/>
        <v>47846.33504</v>
      </c>
      <c r="T175" s="467">
        <f t="shared" si="171"/>
        <v>0</v>
      </c>
      <c r="U175" s="467"/>
      <c r="V175" s="467">
        <f t="shared" si="173"/>
        <v>176846.33504</v>
      </c>
      <c r="W175" s="474">
        <v>12</v>
      </c>
      <c r="X175" s="467">
        <f t="shared" si="174"/>
        <v>14737.1945866667</v>
      </c>
      <c r="Y175" s="470"/>
      <c r="Z175" s="929">
        <f t="shared" si="175"/>
        <v>14737.1945866667</v>
      </c>
      <c r="AA175" s="806">
        <v>7852.4192</v>
      </c>
      <c r="AB175" s="806">
        <f t="shared" si="176"/>
        <v>6884.77538666667</v>
      </c>
    </row>
    <row r="176" ht="15.5" spans="2:28">
      <c r="B176" s="351" t="s">
        <v>387</v>
      </c>
      <c r="C176" s="807">
        <v>170356.75</v>
      </c>
      <c r="D176" s="466">
        <v>12</v>
      </c>
      <c r="E176" s="467">
        <f t="shared" si="161"/>
        <v>2044281</v>
      </c>
      <c r="G176" s="468">
        <v>140502.48</v>
      </c>
      <c r="I176" s="467">
        <f t="shared" si="162"/>
        <v>1903778.52</v>
      </c>
      <c r="J176" s="467">
        <v>200000</v>
      </c>
      <c r="K176" s="467">
        <v>0.2</v>
      </c>
      <c r="L176" s="467">
        <f t="shared" si="163"/>
        <v>380755.704</v>
      </c>
      <c r="M176" s="467">
        <f t="shared" si="164"/>
        <v>580755.704</v>
      </c>
      <c r="N176" s="467">
        <f t="shared" si="165"/>
        <v>721258.184</v>
      </c>
      <c r="O176" s="467">
        <f t="shared" si="166"/>
        <v>1323022.816</v>
      </c>
      <c r="P176" s="467">
        <f t="shared" si="167"/>
        <v>21000</v>
      </c>
      <c r="Q176" s="467">
        <f t="shared" si="168"/>
        <v>33000</v>
      </c>
      <c r="R176" s="467">
        <f t="shared" si="169"/>
        <v>75000</v>
      </c>
      <c r="S176" s="467">
        <f t="shared" si="170"/>
        <v>42374.33504</v>
      </c>
      <c r="T176" s="467">
        <f t="shared" si="171"/>
        <v>0</v>
      </c>
      <c r="U176" s="467"/>
      <c r="V176" s="467">
        <f t="shared" si="173"/>
        <v>171374.33504</v>
      </c>
      <c r="W176" s="474">
        <v>12</v>
      </c>
      <c r="X176" s="467">
        <f t="shared" si="174"/>
        <v>14281.1945866667</v>
      </c>
      <c r="Z176" s="929">
        <f t="shared" si="175"/>
        <v>14281.1945866667</v>
      </c>
      <c r="AA176" s="806">
        <v>7492.4192</v>
      </c>
      <c r="AB176" s="806">
        <f t="shared" si="176"/>
        <v>6788.77538666667</v>
      </c>
    </row>
    <row r="177" ht="15.5" spans="2:28">
      <c r="B177" s="351" t="s">
        <v>389</v>
      </c>
      <c r="C177" s="807">
        <v>173356.75</v>
      </c>
      <c r="D177" s="466">
        <v>12</v>
      </c>
      <c r="E177" s="467">
        <f t="shared" si="161"/>
        <v>2080281</v>
      </c>
      <c r="G177" s="468">
        <v>140502.48</v>
      </c>
      <c r="I177" s="467">
        <f t="shared" si="162"/>
        <v>1939778.52</v>
      </c>
      <c r="J177" s="467">
        <v>200000</v>
      </c>
      <c r="K177" s="467">
        <v>0.2</v>
      </c>
      <c r="L177" s="467">
        <f t="shared" si="163"/>
        <v>387955.704</v>
      </c>
      <c r="M177" s="467">
        <f t="shared" si="164"/>
        <v>587955.704</v>
      </c>
      <c r="N177" s="467">
        <f t="shared" si="165"/>
        <v>728458.184</v>
      </c>
      <c r="O177" s="467">
        <f t="shared" si="166"/>
        <v>1351822.816</v>
      </c>
      <c r="P177" s="467">
        <f t="shared" si="167"/>
        <v>21000</v>
      </c>
      <c r="Q177" s="467">
        <f t="shared" si="168"/>
        <v>33000</v>
      </c>
      <c r="R177" s="467">
        <f t="shared" si="169"/>
        <v>75000</v>
      </c>
      <c r="S177" s="467">
        <f t="shared" si="170"/>
        <v>47846.33504</v>
      </c>
      <c r="T177" s="467">
        <f t="shared" si="171"/>
        <v>0</v>
      </c>
      <c r="U177" s="467"/>
      <c r="V177" s="467">
        <f t="shared" si="173"/>
        <v>176846.33504</v>
      </c>
      <c r="W177" s="474">
        <v>12</v>
      </c>
      <c r="X177" s="467">
        <f t="shared" si="174"/>
        <v>14737.1945866667</v>
      </c>
      <c r="Z177" s="929">
        <f t="shared" si="175"/>
        <v>14737.1945866667</v>
      </c>
      <c r="AA177" s="806">
        <v>7852.4192</v>
      </c>
      <c r="AB177" s="806">
        <f t="shared" si="176"/>
        <v>6884.77538666667</v>
      </c>
    </row>
    <row r="178" ht="15.5" spans="2:28">
      <c r="B178" s="643" t="s">
        <v>572</v>
      </c>
      <c r="C178" s="807"/>
      <c r="D178" s="466"/>
      <c r="E178" s="467"/>
      <c r="G178" s="468"/>
      <c r="I178" s="467"/>
      <c r="J178" s="467"/>
      <c r="K178" s="467"/>
      <c r="L178" s="467"/>
      <c r="M178" s="467"/>
      <c r="N178" s="467">
        <f t="shared" si="165"/>
        <v>0</v>
      </c>
      <c r="O178" s="467">
        <f t="shared" si="166"/>
        <v>0</v>
      </c>
      <c r="P178" s="467">
        <f t="shared" si="167"/>
        <v>0</v>
      </c>
      <c r="Q178" s="467">
        <f t="shared" si="168"/>
        <v>0</v>
      </c>
      <c r="R178" s="467">
        <f t="shared" si="169"/>
        <v>0</v>
      </c>
      <c r="S178" s="467">
        <f t="shared" si="170"/>
        <v>0</v>
      </c>
      <c r="T178" s="467">
        <f t="shared" si="171"/>
        <v>0</v>
      </c>
      <c r="V178" s="467">
        <f t="shared" si="173"/>
        <v>0</v>
      </c>
      <c r="W178" s="474">
        <v>12</v>
      </c>
      <c r="X178" s="467">
        <f t="shared" si="174"/>
        <v>0</v>
      </c>
      <c r="Z178" s="929">
        <f t="shared" si="175"/>
        <v>0</v>
      </c>
      <c r="AA178" s="806"/>
      <c r="AB178" s="806"/>
    </row>
    <row r="179" ht="15.5" spans="2:28">
      <c r="B179" s="643" t="s">
        <v>392</v>
      </c>
      <c r="C179" s="807">
        <v>173356.75</v>
      </c>
      <c r="D179" s="466">
        <v>12</v>
      </c>
      <c r="E179" s="467">
        <f t="shared" ref="E179:E187" si="177">C179*D179</f>
        <v>2080281</v>
      </c>
      <c r="G179" s="468">
        <v>140502.48</v>
      </c>
      <c r="I179" s="467">
        <f t="shared" ref="I179:I187" si="178">E179-F179-G179-H179</f>
        <v>1939778.52</v>
      </c>
      <c r="J179" s="467">
        <v>200000</v>
      </c>
      <c r="K179" s="467">
        <v>0.2</v>
      </c>
      <c r="L179" s="467">
        <f t="shared" ref="L179:L187" si="179">I179*K179</f>
        <v>387955.704</v>
      </c>
      <c r="M179" s="467">
        <f t="shared" ref="M179:M187" si="180">J179+L179</f>
        <v>587955.704</v>
      </c>
      <c r="N179" s="467">
        <f t="shared" si="165"/>
        <v>728458.184</v>
      </c>
      <c r="O179" s="467">
        <f t="shared" si="166"/>
        <v>1351822.816</v>
      </c>
      <c r="P179" s="467">
        <f t="shared" si="167"/>
        <v>21000</v>
      </c>
      <c r="Q179" s="467">
        <f t="shared" si="168"/>
        <v>33000</v>
      </c>
      <c r="R179" s="467">
        <f t="shared" si="169"/>
        <v>75000</v>
      </c>
      <c r="S179" s="467">
        <f t="shared" si="170"/>
        <v>47846.33504</v>
      </c>
      <c r="T179" s="467">
        <f t="shared" si="171"/>
        <v>0</v>
      </c>
      <c r="V179" s="467">
        <f t="shared" si="173"/>
        <v>176846.33504</v>
      </c>
      <c r="W179" s="474">
        <v>12</v>
      </c>
      <c r="X179" s="467">
        <f t="shared" si="174"/>
        <v>14737.1945866667</v>
      </c>
      <c r="Z179" s="929">
        <f t="shared" si="175"/>
        <v>14737.1945866667</v>
      </c>
      <c r="AA179" s="806">
        <v>7852.4192</v>
      </c>
      <c r="AB179" s="806">
        <f t="shared" ref="AB179:AB187" si="181">Z179-AA179</f>
        <v>6884.77538666667</v>
      </c>
    </row>
    <row r="180" ht="15.5" spans="2:28">
      <c r="B180" s="351" t="s">
        <v>360</v>
      </c>
      <c r="C180" s="807">
        <v>170495.666666667</v>
      </c>
      <c r="D180" s="466">
        <v>12</v>
      </c>
      <c r="E180" s="467">
        <f t="shared" si="177"/>
        <v>2045948</v>
      </c>
      <c r="G180" s="468">
        <v>137755.84</v>
      </c>
      <c r="I180" s="467">
        <f t="shared" si="178"/>
        <v>1908192.16</v>
      </c>
      <c r="J180" s="467">
        <v>200000</v>
      </c>
      <c r="K180" s="467">
        <v>0.2</v>
      </c>
      <c r="L180" s="467">
        <f t="shared" si="179"/>
        <v>381638.432000001</v>
      </c>
      <c r="M180" s="467">
        <f t="shared" si="180"/>
        <v>581638.432000001</v>
      </c>
      <c r="N180" s="467">
        <f t="shared" si="165"/>
        <v>719394.272000001</v>
      </c>
      <c r="O180" s="467">
        <f t="shared" si="166"/>
        <v>1326553.728</v>
      </c>
      <c r="P180" s="467">
        <f t="shared" si="167"/>
        <v>21000</v>
      </c>
      <c r="Q180" s="467">
        <f t="shared" si="168"/>
        <v>33000</v>
      </c>
      <c r="R180" s="467">
        <f t="shared" si="169"/>
        <v>75000</v>
      </c>
      <c r="S180" s="467">
        <f t="shared" si="170"/>
        <v>43045.2083200006</v>
      </c>
      <c r="T180" s="467">
        <f t="shared" si="171"/>
        <v>0</v>
      </c>
      <c r="V180" s="467">
        <f t="shared" si="173"/>
        <v>172045.208320001</v>
      </c>
      <c r="W180" s="474">
        <v>12</v>
      </c>
      <c r="X180" s="467">
        <f t="shared" si="174"/>
        <v>14337.1006933334</v>
      </c>
      <c r="Z180" s="929">
        <f t="shared" si="175"/>
        <v>14337.1006933334</v>
      </c>
      <c r="AA180" s="806">
        <v>7571.1476</v>
      </c>
      <c r="AB180" s="806">
        <f t="shared" si="181"/>
        <v>6765.95309333339</v>
      </c>
    </row>
    <row r="181" ht="15.5" spans="2:28">
      <c r="B181" s="351" t="s">
        <v>394</v>
      </c>
      <c r="C181" s="807">
        <v>134014.43</v>
      </c>
      <c r="D181" s="466">
        <v>12</v>
      </c>
      <c r="E181" s="467">
        <f t="shared" si="177"/>
        <v>1608173.16</v>
      </c>
      <c r="G181" s="468">
        <v>132262.56</v>
      </c>
      <c r="I181" s="467">
        <f t="shared" si="178"/>
        <v>1475910.6</v>
      </c>
      <c r="J181" s="467">
        <v>200000</v>
      </c>
      <c r="K181" s="467">
        <v>0.2</v>
      </c>
      <c r="L181" s="467">
        <f t="shared" si="179"/>
        <v>295182.12</v>
      </c>
      <c r="M181" s="467">
        <f t="shared" si="180"/>
        <v>495182.12</v>
      </c>
      <c r="N181" s="467">
        <f t="shared" si="165"/>
        <v>627444.68</v>
      </c>
      <c r="O181" s="467">
        <f t="shared" si="166"/>
        <v>980728.48</v>
      </c>
      <c r="P181" s="467">
        <f t="shared" si="167"/>
        <v>21000</v>
      </c>
      <c r="Q181" s="467">
        <f t="shared" si="168"/>
        <v>33000</v>
      </c>
      <c r="R181" s="467">
        <f t="shared" si="169"/>
        <v>57109.272</v>
      </c>
      <c r="S181" s="467">
        <f t="shared" si="170"/>
        <v>0</v>
      </c>
      <c r="T181" s="467">
        <f t="shared" si="171"/>
        <v>0</v>
      </c>
      <c r="V181" s="467">
        <f t="shared" si="173"/>
        <v>111109.272</v>
      </c>
      <c r="W181" s="474">
        <v>12</v>
      </c>
      <c r="X181" s="467">
        <f t="shared" si="174"/>
        <v>9259.106</v>
      </c>
      <c r="Z181" s="929">
        <f t="shared" si="175"/>
        <v>9259.106</v>
      </c>
      <c r="AA181" s="806">
        <v>3685.06</v>
      </c>
      <c r="AB181" s="806">
        <f t="shared" si="181"/>
        <v>5574.046</v>
      </c>
    </row>
    <row r="182" ht="15.5" spans="2:28">
      <c r="B182" s="351" t="s">
        <v>397</v>
      </c>
      <c r="C182" s="807">
        <v>156912.666666667</v>
      </c>
      <c r="D182" s="466">
        <v>12</v>
      </c>
      <c r="E182" s="467">
        <f t="shared" si="177"/>
        <v>1882952</v>
      </c>
      <c r="G182" s="468">
        <v>129516.16</v>
      </c>
      <c r="I182" s="467">
        <f t="shared" si="178"/>
        <v>1753435.84</v>
      </c>
      <c r="J182" s="467">
        <v>200000</v>
      </c>
      <c r="K182" s="467">
        <v>0.2</v>
      </c>
      <c r="L182" s="467">
        <f t="shared" si="179"/>
        <v>350687.168000001</v>
      </c>
      <c r="M182" s="467">
        <f t="shared" si="180"/>
        <v>550687.168000001</v>
      </c>
      <c r="N182" s="467">
        <f t="shared" si="165"/>
        <v>680203.328000001</v>
      </c>
      <c r="O182" s="467">
        <f t="shared" si="166"/>
        <v>1202748.672</v>
      </c>
      <c r="P182" s="467">
        <f t="shared" si="167"/>
        <v>21000</v>
      </c>
      <c r="Q182" s="467">
        <f t="shared" si="168"/>
        <v>33000</v>
      </c>
      <c r="R182" s="467">
        <f t="shared" si="169"/>
        <v>75000</v>
      </c>
      <c r="S182" s="467">
        <f t="shared" si="170"/>
        <v>19522.2476800006</v>
      </c>
      <c r="T182" s="467">
        <f t="shared" si="171"/>
        <v>0</v>
      </c>
      <c r="V182" s="467">
        <f t="shared" si="173"/>
        <v>148522.247680001</v>
      </c>
      <c r="W182" s="474">
        <v>12</v>
      </c>
      <c r="X182" s="467">
        <f t="shared" si="174"/>
        <v>12376.8539733334</v>
      </c>
      <c r="Z182" s="929">
        <f t="shared" si="175"/>
        <v>12376.8539733334</v>
      </c>
      <c r="AA182" s="806">
        <v>6435.0616</v>
      </c>
      <c r="AB182" s="806">
        <f t="shared" si="181"/>
        <v>5941.79237333338</v>
      </c>
    </row>
    <row r="183" ht="15.5" spans="2:28">
      <c r="B183" s="351" t="s">
        <v>401</v>
      </c>
      <c r="C183" s="807">
        <v>148049.416666667</v>
      </c>
      <c r="D183" s="466">
        <v>12</v>
      </c>
      <c r="E183" s="467">
        <f t="shared" si="177"/>
        <v>1776593</v>
      </c>
      <c r="G183" s="468">
        <v>123887.44</v>
      </c>
      <c r="I183" s="467">
        <f t="shared" si="178"/>
        <v>1652705.56</v>
      </c>
      <c r="J183" s="467">
        <v>200000</v>
      </c>
      <c r="K183" s="467">
        <v>0.2</v>
      </c>
      <c r="L183" s="467">
        <f t="shared" si="179"/>
        <v>330541.112000001</v>
      </c>
      <c r="M183" s="467">
        <f t="shared" si="180"/>
        <v>530541.112000001</v>
      </c>
      <c r="N183" s="467">
        <f t="shared" si="165"/>
        <v>654428.552000001</v>
      </c>
      <c r="O183" s="467">
        <f t="shared" si="166"/>
        <v>1122164.448</v>
      </c>
      <c r="P183" s="467">
        <f t="shared" si="167"/>
        <v>21000</v>
      </c>
      <c r="Q183" s="467">
        <f t="shared" si="168"/>
        <v>33000</v>
      </c>
      <c r="R183" s="467">
        <f t="shared" si="169"/>
        <v>75000</v>
      </c>
      <c r="S183" s="467">
        <f t="shared" si="170"/>
        <v>4211.24512000064</v>
      </c>
      <c r="T183" s="467">
        <f t="shared" si="171"/>
        <v>0</v>
      </c>
      <c r="V183" s="467">
        <f t="shared" si="173"/>
        <v>133211.245120001</v>
      </c>
      <c r="W183" s="474">
        <v>12</v>
      </c>
      <c r="X183" s="467">
        <f t="shared" si="174"/>
        <v>11100.9370933334</v>
      </c>
      <c r="Z183" s="929">
        <f t="shared" si="175"/>
        <v>11100.9370933334</v>
      </c>
      <c r="AA183" s="806">
        <v>5230.0988</v>
      </c>
      <c r="AB183" s="806">
        <f t="shared" si="181"/>
        <v>5870.83829333339</v>
      </c>
    </row>
    <row r="184" ht="15.5" spans="2:28">
      <c r="B184" s="351" t="s">
        <v>404</v>
      </c>
      <c r="C184" s="807">
        <v>148049.416666667</v>
      </c>
      <c r="D184" s="466">
        <v>12</v>
      </c>
      <c r="E184" s="467">
        <f t="shared" si="177"/>
        <v>1776593</v>
      </c>
      <c r="G184" s="468">
        <v>123887.44</v>
      </c>
      <c r="I184" s="467">
        <f t="shared" si="178"/>
        <v>1652705.56</v>
      </c>
      <c r="J184" s="467">
        <v>200000</v>
      </c>
      <c r="K184" s="467">
        <v>0.2</v>
      </c>
      <c r="L184" s="467">
        <f t="shared" si="179"/>
        <v>330541.112000001</v>
      </c>
      <c r="M184" s="467">
        <f t="shared" si="180"/>
        <v>530541.112000001</v>
      </c>
      <c r="N184" s="467">
        <f t="shared" si="165"/>
        <v>654428.552000001</v>
      </c>
      <c r="O184" s="467">
        <f t="shared" si="166"/>
        <v>1122164.448</v>
      </c>
      <c r="P184" s="467">
        <f t="shared" si="167"/>
        <v>21000</v>
      </c>
      <c r="Q184" s="467">
        <f t="shared" si="168"/>
        <v>33000</v>
      </c>
      <c r="R184" s="467">
        <f t="shared" si="169"/>
        <v>75000</v>
      </c>
      <c r="S184" s="467">
        <f t="shared" si="170"/>
        <v>4211.24512000064</v>
      </c>
      <c r="T184" s="467">
        <f t="shared" si="171"/>
        <v>0</v>
      </c>
      <c r="V184" s="467">
        <f t="shared" si="173"/>
        <v>133211.245120001</v>
      </c>
      <c r="W184" s="474">
        <v>12</v>
      </c>
      <c r="X184" s="467">
        <f t="shared" si="174"/>
        <v>11100.9370933334</v>
      </c>
      <c r="Z184" s="929">
        <f t="shared" si="175"/>
        <v>11100.9370933334</v>
      </c>
      <c r="AA184" s="806">
        <v>5230.0988</v>
      </c>
      <c r="AB184" s="806">
        <f t="shared" si="181"/>
        <v>5870.83829333339</v>
      </c>
    </row>
    <row r="185" ht="15.5" spans="2:28">
      <c r="B185" s="351" t="s">
        <v>405</v>
      </c>
      <c r="C185" s="807">
        <v>148049.416666667</v>
      </c>
      <c r="D185" s="485">
        <v>12</v>
      </c>
      <c r="E185" s="486">
        <f t="shared" si="177"/>
        <v>1776593</v>
      </c>
      <c r="G185" s="487">
        <v>123887.44</v>
      </c>
      <c r="I185" s="486">
        <f t="shared" si="178"/>
        <v>1652705.56</v>
      </c>
      <c r="J185" s="467">
        <v>200000</v>
      </c>
      <c r="K185" s="467">
        <v>0.2</v>
      </c>
      <c r="L185" s="467">
        <f t="shared" si="179"/>
        <v>330541.112000001</v>
      </c>
      <c r="M185" s="467">
        <f t="shared" si="180"/>
        <v>530541.112000001</v>
      </c>
      <c r="N185" s="467">
        <f t="shared" si="165"/>
        <v>654428.552000001</v>
      </c>
      <c r="O185" s="467">
        <f t="shared" si="166"/>
        <v>1122164.448</v>
      </c>
      <c r="P185" s="467">
        <f t="shared" si="167"/>
        <v>21000</v>
      </c>
      <c r="Q185" s="467">
        <f t="shared" si="168"/>
        <v>33000</v>
      </c>
      <c r="R185" s="467">
        <f t="shared" si="169"/>
        <v>75000</v>
      </c>
      <c r="S185" s="467">
        <f t="shared" si="170"/>
        <v>4211.24512000064</v>
      </c>
      <c r="T185" s="467">
        <f t="shared" si="171"/>
        <v>0</v>
      </c>
      <c r="V185" s="467">
        <f t="shared" si="173"/>
        <v>133211.245120001</v>
      </c>
      <c r="W185" s="474">
        <v>12</v>
      </c>
      <c r="X185" s="467">
        <f t="shared" si="174"/>
        <v>11100.9370933334</v>
      </c>
      <c r="Z185" s="929">
        <f t="shared" si="175"/>
        <v>11100.9370933334</v>
      </c>
      <c r="AA185" s="806">
        <v>5230.0988</v>
      </c>
      <c r="AB185" s="806">
        <f t="shared" si="181"/>
        <v>5870.83829333339</v>
      </c>
    </row>
    <row r="186" ht="15.5" spans="2:28">
      <c r="B186" s="351" t="s">
        <v>406</v>
      </c>
      <c r="C186" s="931">
        <v>162634.666666667</v>
      </c>
      <c r="D186" s="485">
        <v>12</v>
      </c>
      <c r="E186" s="486">
        <f t="shared" si="177"/>
        <v>1951616</v>
      </c>
      <c r="F186" s="489"/>
      <c r="G186" s="487">
        <v>135009.28</v>
      </c>
      <c r="H186" s="489"/>
      <c r="I186" s="486">
        <f t="shared" si="178"/>
        <v>1816606.72</v>
      </c>
      <c r="J186" s="486">
        <v>200000</v>
      </c>
      <c r="K186" s="486">
        <v>0.2</v>
      </c>
      <c r="L186" s="486">
        <f t="shared" si="179"/>
        <v>363321.344000001</v>
      </c>
      <c r="M186" s="486">
        <f t="shared" si="180"/>
        <v>563321.344000001</v>
      </c>
      <c r="N186" s="486">
        <f t="shared" si="165"/>
        <v>698330.624000001</v>
      </c>
      <c r="O186" s="486">
        <f t="shared" si="166"/>
        <v>1253285.376</v>
      </c>
      <c r="P186" s="486">
        <f t="shared" si="167"/>
        <v>21000</v>
      </c>
      <c r="Q186" s="486">
        <f t="shared" si="168"/>
        <v>33000</v>
      </c>
      <c r="R186" s="486">
        <f t="shared" si="169"/>
        <v>75000</v>
      </c>
      <c r="S186" s="486">
        <f t="shared" si="170"/>
        <v>29124.2214400007</v>
      </c>
      <c r="T186" s="467">
        <f t="shared" si="171"/>
        <v>0</v>
      </c>
      <c r="V186" s="486">
        <f t="shared" si="173"/>
        <v>158124.221440001</v>
      </c>
      <c r="W186" s="500">
        <v>12</v>
      </c>
      <c r="X186" s="486">
        <f t="shared" si="174"/>
        <v>13177.0184533334</v>
      </c>
      <c r="Z186" s="934">
        <f t="shared" si="175"/>
        <v>13177.0184533334</v>
      </c>
      <c r="AA186" s="806">
        <v>6689.876</v>
      </c>
      <c r="AB186" s="806">
        <f t="shared" si="181"/>
        <v>6487.14245333339</v>
      </c>
    </row>
    <row r="187" ht="22" customHeight="1" spans="2:28">
      <c r="B187" s="351" t="s">
        <v>409</v>
      </c>
      <c r="C187" s="806">
        <v>162634.666666667</v>
      </c>
      <c r="D187" s="485">
        <v>12</v>
      </c>
      <c r="E187" s="486">
        <f t="shared" si="177"/>
        <v>1951616</v>
      </c>
      <c r="F187" s="489"/>
      <c r="G187" s="487">
        <v>135009.28</v>
      </c>
      <c r="H187" s="489"/>
      <c r="I187" s="486">
        <f t="shared" si="178"/>
        <v>1816606.72</v>
      </c>
      <c r="J187" s="486">
        <v>200000</v>
      </c>
      <c r="K187" s="486">
        <v>0.2</v>
      </c>
      <c r="L187" s="486">
        <f t="shared" si="179"/>
        <v>363321.344000001</v>
      </c>
      <c r="M187" s="486">
        <f t="shared" si="180"/>
        <v>563321.344000001</v>
      </c>
      <c r="N187" s="486">
        <f t="shared" si="165"/>
        <v>698330.624000001</v>
      </c>
      <c r="O187" s="486">
        <f t="shared" si="166"/>
        <v>1253285.376</v>
      </c>
      <c r="P187" s="486">
        <f t="shared" si="167"/>
        <v>21000</v>
      </c>
      <c r="Q187" s="486">
        <f t="shared" si="168"/>
        <v>33000</v>
      </c>
      <c r="R187" s="486">
        <f t="shared" si="169"/>
        <v>75000</v>
      </c>
      <c r="S187" s="486">
        <f t="shared" si="170"/>
        <v>29124.2214400007</v>
      </c>
      <c r="T187" s="467">
        <f t="shared" si="171"/>
        <v>0</v>
      </c>
      <c r="V187" s="486">
        <f t="shared" si="173"/>
        <v>158124.221440001</v>
      </c>
      <c r="W187" s="500">
        <v>12</v>
      </c>
      <c r="X187" s="486">
        <f t="shared" si="174"/>
        <v>13177.0184533334</v>
      </c>
      <c r="Z187" s="934">
        <f t="shared" si="175"/>
        <v>13177.0184533334</v>
      </c>
      <c r="AA187" s="806">
        <v>6689.876</v>
      </c>
      <c r="AB187" s="806">
        <f t="shared" si="181"/>
        <v>6487.14245333339</v>
      </c>
    </row>
    <row r="188" ht="26.25" customHeight="1" spans="2:28">
      <c r="B188" s="889"/>
      <c r="C188" s="617"/>
      <c r="D188" s="618"/>
      <c r="E188" s="618"/>
      <c r="F188" s="621"/>
      <c r="G188" s="621"/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932" t="s">
        <v>120</v>
      </c>
      <c r="W188" s="618"/>
      <c r="X188" s="933">
        <f t="shared" ref="X188:AB188" si="182">SUM(X6:X187)</f>
        <v>13659428.762119</v>
      </c>
      <c r="Y188" s="933"/>
      <c r="Z188" s="935">
        <f t="shared" si="182"/>
        <v>13659428.762119</v>
      </c>
      <c r="AA188" s="935">
        <f t="shared" si="182"/>
        <v>10905235.8361748</v>
      </c>
      <c r="AB188" s="936">
        <f t="shared" si="182"/>
        <v>2754192.92594416</v>
      </c>
    </row>
    <row r="189" ht="17.5" spans="2:26">
      <c r="B189" s="33"/>
      <c r="C189" s="479"/>
      <c r="F189" s="498"/>
      <c r="Z189" s="296"/>
    </row>
    <row r="190" spans="6:26">
      <c r="F190" s="499"/>
      <c r="Z190" s="619"/>
    </row>
    <row r="191" spans="26:26">
      <c r="Z191" s="296"/>
    </row>
    <row r="192" spans="26:26">
      <c r="Z192" s="296"/>
    </row>
    <row r="193" spans="26:26">
      <c r="Z193" s="296"/>
    </row>
    <row r="194" spans="26:26">
      <c r="Z194" s="296"/>
    </row>
    <row r="195" spans="26:26">
      <c r="Z195" s="296"/>
    </row>
    <row r="196" spans="26:26">
      <c r="Z196" s="296"/>
    </row>
    <row r="197" spans="26:26">
      <c r="Z197" s="296"/>
    </row>
    <row r="198" spans="26:26">
      <c r="Z198" s="296"/>
    </row>
    <row r="199" spans="26:26">
      <c r="Z199" s="296"/>
    </row>
    <row r="200" spans="26:26">
      <c r="Z200" s="296"/>
    </row>
    <row r="201" spans="26:26">
      <c r="Z201" s="296"/>
    </row>
    <row r="202" spans="26:26">
      <c r="Z202" s="296"/>
    </row>
    <row r="203" spans="26:26">
      <c r="Z203" s="296"/>
    </row>
    <row r="204" spans="26:26">
      <c r="Z204" s="296"/>
    </row>
    <row r="205" spans="26:26">
      <c r="Z205" s="296"/>
    </row>
    <row r="206" spans="26:26">
      <c r="Z206" s="296"/>
    </row>
    <row r="207" spans="26:26">
      <c r="Z207" s="296"/>
    </row>
    <row r="208" spans="26:26">
      <c r="Z208" s="296"/>
    </row>
    <row r="209" spans="26:26">
      <c r="Z209" s="296"/>
    </row>
    <row r="210" spans="26:26">
      <c r="Z210" s="296"/>
    </row>
    <row r="211" spans="26:26">
      <c r="Z211" s="296"/>
    </row>
    <row r="212" spans="26:26">
      <c r="Z212" s="296"/>
    </row>
    <row r="213" spans="26:26">
      <c r="Z213" s="296"/>
    </row>
    <row r="214" spans="26:26">
      <c r="Z214" s="296"/>
    </row>
    <row r="215" spans="26:26">
      <c r="Z215" s="296"/>
    </row>
    <row r="216" spans="26:26">
      <c r="Z216" s="296"/>
    </row>
    <row r="217" spans="26:26">
      <c r="Z217" s="296"/>
    </row>
    <row r="218" spans="26:26">
      <c r="Z218" s="296"/>
    </row>
    <row r="219" spans="26:26">
      <c r="Z219" s="296"/>
    </row>
    <row r="220" spans="26:26">
      <c r="Z220" s="296"/>
    </row>
    <row r="221" spans="26:26">
      <c r="Z221" s="296"/>
    </row>
    <row r="222" spans="26:26">
      <c r="Z222" s="296"/>
    </row>
    <row r="223" spans="26:26">
      <c r="Z223" s="296"/>
    </row>
    <row r="224" spans="26:26">
      <c r="Z224" s="296"/>
    </row>
    <row r="225" spans="26:26">
      <c r="Z225" s="296"/>
    </row>
    <row r="226" spans="26:26">
      <c r="Z226" s="296"/>
    </row>
    <row r="227" spans="26:26">
      <c r="Z227" s="296"/>
    </row>
    <row r="228" spans="26:26">
      <c r="Z228" s="296"/>
    </row>
    <row r="229" spans="26:26">
      <c r="Z229" s="296"/>
    </row>
    <row r="230" spans="26:26">
      <c r="Z230" s="296"/>
    </row>
    <row r="231" spans="26:26">
      <c r="Z231" s="296"/>
    </row>
    <row r="232" spans="26:26">
      <c r="Z232" s="296"/>
    </row>
    <row r="233" spans="26:26">
      <c r="Z233" s="296"/>
    </row>
    <row r="234" spans="26:26">
      <c r="Z234" s="296"/>
    </row>
    <row r="235" spans="26:26">
      <c r="Z235" s="296"/>
    </row>
    <row r="236" spans="26:26">
      <c r="Z236" s="296"/>
    </row>
    <row r="237" spans="26:26">
      <c r="Z237" s="296"/>
    </row>
    <row r="238" spans="26:26">
      <c r="Z238" s="296"/>
    </row>
    <row r="239" spans="26:26">
      <c r="Z239" s="296"/>
    </row>
    <row r="240" spans="26:26">
      <c r="Z240" s="296"/>
    </row>
    <row r="241" spans="26:26">
      <c r="Z241" s="296"/>
    </row>
    <row r="242" spans="26:26">
      <c r="Z242" s="296"/>
    </row>
    <row r="243" spans="26:26">
      <c r="Z243" s="296"/>
    </row>
    <row r="244" spans="26:26">
      <c r="Z244" s="296"/>
    </row>
    <row r="245" spans="26:26">
      <c r="Z245" s="296"/>
    </row>
    <row r="246" spans="26:26">
      <c r="Z246" s="296"/>
    </row>
    <row r="247" spans="26:26">
      <c r="Z247" s="296"/>
    </row>
    <row r="248" spans="26:26">
      <c r="Z248" s="296"/>
    </row>
    <row r="249" spans="26:26">
      <c r="Z249" s="296"/>
    </row>
    <row r="250" spans="26:26">
      <c r="Z250" s="296"/>
    </row>
    <row r="251" spans="26:26">
      <c r="Z251" s="296"/>
    </row>
    <row r="252" spans="26:26">
      <c r="Z252" s="296"/>
    </row>
    <row r="253" spans="26:26">
      <c r="Z253" s="296"/>
    </row>
    <row r="254" spans="26:26">
      <c r="Z254" s="296"/>
    </row>
    <row r="255" spans="26:26">
      <c r="Z255" s="296"/>
    </row>
    <row r="256" spans="26:26">
      <c r="Z256" s="296"/>
    </row>
    <row r="257" spans="26:26">
      <c r="Z257" s="296"/>
    </row>
    <row r="258" spans="26:26">
      <c r="Z258" s="296"/>
    </row>
    <row r="259" spans="26:26">
      <c r="Z259" s="296"/>
    </row>
    <row r="260" spans="26:26">
      <c r="Z260" s="296"/>
    </row>
    <row r="261" spans="26:26">
      <c r="Z261" s="296"/>
    </row>
    <row r="262" spans="26:26">
      <c r="Z262" s="296"/>
    </row>
    <row r="263" spans="26:26">
      <c r="Z263" s="296"/>
    </row>
    <row r="264" spans="26:26">
      <c r="Z264" s="296"/>
    </row>
    <row r="265" spans="26:26">
      <c r="Z265" s="296"/>
    </row>
    <row r="266" spans="26:26">
      <c r="Z266" s="296"/>
    </row>
    <row r="267" spans="26:26">
      <c r="Z267" s="296"/>
    </row>
    <row r="268" spans="26:26">
      <c r="Z268" s="296"/>
    </row>
    <row r="269" spans="26:26">
      <c r="Z269" s="296"/>
    </row>
    <row r="270" spans="26:26">
      <c r="Z270" s="296"/>
    </row>
    <row r="271" spans="26:26">
      <c r="Z271" s="296"/>
    </row>
    <row r="272" spans="26:26">
      <c r="Z272" s="296"/>
    </row>
    <row r="273" spans="26:26">
      <c r="Z273" s="296"/>
    </row>
    <row r="274" spans="26:26">
      <c r="Z274" s="296"/>
    </row>
    <row r="275" spans="26:26">
      <c r="Z275" s="296"/>
    </row>
    <row r="276" spans="26:26">
      <c r="Z276" s="296"/>
    </row>
    <row r="277" spans="26:26">
      <c r="Z277" s="296"/>
    </row>
    <row r="278" spans="26:26">
      <c r="Z278" s="296"/>
    </row>
    <row r="279" spans="26:26">
      <c r="Z279" s="296"/>
    </row>
    <row r="280" spans="26:26">
      <c r="Z280" s="296"/>
    </row>
    <row r="281" spans="26:26">
      <c r="Z281" s="296"/>
    </row>
    <row r="282" spans="26:26">
      <c r="Z282" s="296"/>
    </row>
    <row r="283" spans="26:26">
      <c r="Z283" s="296"/>
    </row>
    <row r="284" spans="26:26">
      <c r="Z284" s="296"/>
    </row>
    <row r="285" spans="26:26">
      <c r="Z285" s="296"/>
    </row>
    <row r="286" spans="26:26">
      <c r="Z286" s="296"/>
    </row>
    <row r="287" spans="26:26">
      <c r="Z287" s="296"/>
    </row>
    <row r="288" spans="26:26">
      <c r="Z288" s="296"/>
    </row>
    <row r="289" spans="26:26">
      <c r="Z289" s="296"/>
    </row>
    <row r="290" spans="26:26">
      <c r="Z290" s="296"/>
    </row>
    <row r="291" spans="26:26">
      <c r="Z291" s="296"/>
    </row>
    <row r="292" spans="26:26">
      <c r="Z292" s="296"/>
    </row>
    <row r="293" spans="26:26">
      <c r="Z293" s="296"/>
    </row>
    <row r="294" spans="26:26">
      <c r="Z294" s="296"/>
    </row>
    <row r="295" spans="26:26">
      <c r="Z295" s="296"/>
    </row>
    <row r="296" spans="26:26">
      <c r="Z296" s="296"/>
    </row>
    <row r="297" spans="26:26">
      <c r="Z297" s="296"/>
    </row>
    <row r="298" spans="26:26">
      <c r="Z298" s="296"/>
    </row>
    <row r="299" spans="26:26">
      <c r="Z299" s="296"/>
    </row>
    <row r="300" spans="26:26">
      <c r="Z300" s="296"/>
    </row>
    <row r="301" spans="26:26">
      <c r="Z301" s="296"/>
    </row>
    <row r="302" spans="26:26">
      <c r="Z302" s="296"/>
    </row>
    <row r="303" spans="26:26">
      <c r="Z303" s="296"/>
    </row>
    <row r="304" spans="26:26">
      <c r="Z304" s="296"/>
    </row>
    <row r="305" spans="26:26">
      <c r="Z305" s="296"/>
    </row>
    <row r="306" spans="26:26">
      <c r="Z306" s="296"/>
    </row>
    <row r="307" spans="26:26">
      <c r="Z307" s="296"/>
    </row>
    <row r="308" spans="26:26">
      <c r="Z308" s="296"/>
    </row>
    <row r="309" spans="26:26">
      <c r="Z309" s="296"/>
    </row>
    <row r="310" spans="26:26">
      <c r="Z310" s="296"/>
    </row>
    <row r="311" spans="26:26">
      <c r="Z311" s="296"/>
    </row>
    <row r="312" spans="26:26">
      <c r="Z312" s="296"/>
    </row>
    <row r="313" spans="26:26">
      <c r="Z313" s="296"/>
    </row>
    <row r="314" spans="26:26">
      <c r="Z314" s="296"/>
    </row>
    <row r="315" spans="26:26">
      <c r="Z315" s="296"/>
    </row>
    <row r="316" spans="26:26">
      <c r="Z316" s="296"/>
    </row>
    <row r="317" spans="26:26">
      <c r="Z317" s="296"/>
    </row>
    <row r="318" spans="26:26">
      <c r="Z318" s="296"/>
    </row>
    <row r="319" spans="26:26">
      <c r="Z319" s="296"/>
    </row>
    <row r="320" spans="26:26">
      <c r="Z320" s="296"/>
    </row>
    <row r="321" spans="26:26">
      <c r="Z321" s="296"/>
    </row>
    <row r="322" spans="26:26">
      <c r="Z322" s="296"/>
    </row>
    <row r="323" spans="26:26">
      <c r="Z323" s="296"/>
    </row>
    <row r="324" spans="26:26">
      <c r="Z324" s="296"/>
    </row>
    <row r="325" spans="26:26">
      <c r="Z325" s="296"/>
    </row>
    <row r="326" spans="26:26">
      <c r="Z326" s="296"/>
    </row>
    <row r="327" spans="26:26">
      <c r="Z327" s="296"/>
    </row>
    <row r="328" spans="26:26">
      <c r="Z328" s="296"/>
    </row>
    <row r="329" spans="26:26">
      <c r="Z329" s="296"/>
    </row>
    <row r="330" spans="26:26">
      <c r="Z330" s="296"/>
    </row>
    <row r="331" spans="26:26">
      <c r="Z331" s="296"/>
    </row>
    <row r="332" spans="26:26">
      <c r="Z332" s="296"/>
    </row>
    <row r="333" spans="26:26">
      <c r="Z333" s="296"/>
    </row>
    <row r="334" spans="26:26">
      <c r="Z334" s="296"/>
    </row>
    <row r="335" spans="26:26">
      <c r="Z335" s="296"/>
    </row>
    <row r="336" spans="26:26">
      <c r="Z336" s="296"/>
    </row>
    <row r="337" spans="26:26">
      <c r="Z337" s="296"/>
    </row>
    <row r="338" spans="26:26">
      <c r="Z338" s="296"/>
    </row>
    <row r="339" spans="26:26">
      <c r="Z339" s="296"/>
    </row>
    <row r="340" spans="26:26">
      <c r="Z340" s="296"/>
    </row>
    <row r="341" spans="26:26">
      <c r="Z341" s="296"/>
    </row>
    <row r="342" spans="26:26">
      <c r="Z342" s="296"/>
    </row>
    <row r="343" spans="26:26">
      <c r="Z343" s="296"/>
    </row>
    <row r="344" spans="26:26">
      <c r="Z344" s="296"/>
    </row>
    <row r="345" spans="26:26">
      <c r="Z345" s="296"/>
    </row>
    <row r="346" spans="26:26">
      <c r="Z346" s="296"/>
    </row>
    <row r="347" spans="26:26">
      <c r="Z347" s="296"/>
    </row>
    <row r="348" spans="26:26">
      <c r="Z348" s="296"/>
    </row>
    <row r="349" spans="26:26">
      <c r="Z349" s="296"/>
    </row>
    <row r="350" spans="26:26">
      <c r="Z350" s="296"/>
    </row>
    <row r="351" spans="26:26">
      <c r="Z351" s="296"/>
    </row>
    <row r="352" spans="26:26">
      <c r="Z352" s="296"/>
    </row>
    <row r="353" spans="26:26">
      <c r="Z353" s="296"/>
    </row>
    <row r="354" spans="26:26">
      <c r="Z354" s="296"/>
    </row>
    <row r="355" spans="26:26">
      <c r="Z355" s="296"/>
    </row>
    <row r="356" spans="26:26">
      <c r="Z356" s="296"/>
    </row>
    <row r="357" spans="26:26">
      <c r="Z357" s="296"/>
    </row>
    <row r="358" spans="26:26">
      <c r="Z358" s="296"/>
    </row>
    <row r="359" spans="26:26">
      <c r="Z359" s="296"/>
    </row>
    <row r="360" spans="26:26">
      <c r="Z360" s="296"/>
    </row>
    <row r="361" spans="26:26">
      <c r="Z361" s="296"/>
    </row>
    <row r="362" spans="26:26">
      <c r="Z362" s="296"/>
    </row>
    <row r="363" spans="26:26">
      <c r="Z363" s="296"/>
    </row>
    <row r="364" spans="26:26">
      <c r="Z364" s="296"/>
    </row>
    <row r="365" spans="26:26">
      <c r="Z365" s="296"/>
    </row>
    <row r="366" spans="26:26">
      <c r="Z366" s="296"/>
    </row>
    <row r="367" spans="26:26">
      <c r="Z367" s="296"/>
    </row>
    <row r="368" spans="26:26">
      <c r="Z368" s="296"/>
    </row>
    <row r="369" spans="26:26">
      <c r="Z369" s="296"/>
    </row>
    <row r="370" spans="26:26">
      <c r="Z370" s="296"/>
    </row>
    <row r="371" spans="26:26">
      <c r="Z371" s="296"/>
    </row>
    <row r="372" spans="26:26">
      <c r="Z372" s="296"/>
    </row>
    <row r="373" spans="26:26">
      <c r="Z373" s="296"/>
    </row>
    <row r="374" spans="26:26">
      <c r="Z374" s="296"/>
    </row>
    <row r="375" spans="26:26">
      <c r="Z375" s="296"/>
    </row>
    <row r="376" spans="26:26">
      <c r="Z376" s="296"/>
    </row>
    <row r="377" spans="26:26">
      <c r="Z377" s="296"/>
    </row>
    <row r="378" spans="26:26">
      <c r="Z378" s="296"/>
    </row>
    <row r="379" spans="26:26">
      <c r="Z379" s="296"/>
    </row>
    <row r="380" spans="26:26">
      <c r="Z380" s="296"/>
    </row>
    <row r="381" spans="26:26">
      <c r="Z381" s="296"/>
    </row>
    <row r="382" spans="26:26">
      <c r="Z382" s="296"/>
    </row>
    <row r="383" spans="26:26">
      <c r="Z383" s="296"/>
    </row>
    <row r="384" spans="26:26">
      <c r="Z384" s="296"/>
    </row>
    <row r="385" spans="26:26">
      <c r="Z385" s="296"/>
    </row>
    <row r="386" spans="26:26">
      <c r="Z386" s="296"/>
    </row>
    <row r="387" spans="26:26">
      <c r="Z387" s="296"/>
    </row>
    <row r="388" spans="26:26">
      <c r="Z388" s="296"/>
    </row>
    <row r="389" spans="26:26">
      <c r="Z389" s="296"/>
    </row>
    <row r="390" spans="26:26">
      <c r="Z390" s="296"/>
    </row>
    <row r="391" spans="26:26">
      <c r="Z391" s="296"/>
    </row>
    <row r="392" spans="26:26">
      <c r="Z392" s="296"/>
    </row>
    <row r="393" spans="26:26">
      <c r="Z393" s="296"/>
    </row>
    <row r="394" spans="26:26">
      <c r="Z394" s="296"/>
    </row>
    <row r="395" spans="26:26">
      <c r="Z395" s="296"/>
    </row>
    <row r="396" spans="26:26">
      <c r="Z396" s="296"/>
    </row>
    <row r="397" spans="26:26">
      <c r="Z397" s="296"/>
    </row>
    <row r="398" spans="26:26">
      <c r="Z398" s="296"/>
    </row>
    <row r="399" spans="26:26">
      <c r="Z399" s="296"/>
    </row>
    <row r="400" spans="26:26">
      <c r="Z400" s="296"/>
    </row>
    <row r="401" spans="26:26">
      <c r="Z401" s="296"/>
    </row>
    <row r="402" spans="26:26">
      <c r="Z402" s="296"/>
    </row>
    <row r="403" spans="26:26">
      <c r="Z403" s="296"/>
    </row>
    <row r="404" spans="26:26">
      <c r="Z404" s="296"/>
    </row>
    <row r="405" spans="26:26">
      <c r="Z405" s="296"/>
    </row>
    <row r="406" spans="26:26">
      <c r="Z406" s="296"/>
    </row>
    <row r="407" spans="26:26">
      <c r="Z407" s="296"/>
    </row>
    <row r="408" spans="26:26">
      <c r="Z408" s="296"/>
    </row>
    <row r="409" spans="26:26">
      <c r="Z409" s="296"/>
    </row>
    <row r="410" spans="26:26">
      <c r="Z410" s="296"/>
    </row>
    <row r="411" spans="26:26">
      <c r="Z411" s="296"/>
    </row>
    <row r="412" spans="26:26">
      <c r="Z412" s="296"/>
    </row>
    <row r="413" spans="26:26">
      <c r="Z413" s="296"/>
    </row>
    <row r="414" spans="26:26">
      <c r="Z414" s="296"/>
    </row>
    <row r="415" spans="26:26">
      <c r="Z415" s="296"/>
    </row>
    <row r="416" spans="26:26">
      <c r="Z416" s="296"/>
    </row>
    <row r="417" spans="26:26">
      <c r="Z417" s="296"/>
    </row>
    <row r="418" spans="26:26">
      <c r="Z418" s="296"/>
    </row>
    <row r="419" spans="26:26">
      <c r="Z419" s="296"/>
    </row>
    <row r="420" spans="26:26">
      <c r="Z420" s="296"/>
    </row>
    <row r="421" spans="26:26">
      <c r="Z421" s="296"/>
    </row>
    <row r="422" spans="26:26">
      <c r="Z422" s="296"/>
    </row>
    <row r="423" spans="26:26">
      <c r="Z423" s="296"/>
    </row>
    <row r="424" spans="26:26">
      <c r="Z424" s="296"/>
    </row>
    <row r="425" spans="26:26">
      <c r="Z425" s="296"/>
    </row>
    <row r="426" spans="26:26">
      <c r="Z426" s="296"/>
    </row>
    <row r="427" spans="26:26">
      <c r="Z427" s="296"/>
    </row>
    <row r="428" spans="26:26">
      <c r="Z428" s="296"/>
    </row>
    <row r="429" spans="26:26">
      <c r="Z429" s="296"/>
    </row>
    <row r="430" spans="26:26">
      <c r="Z430" s="296"/>
    </row>
    <row r="431" spans="26:26">
      <c r="Z431" s="296"/>
    </row>
    <row r="432" spans="26:26">
      <c r="Z432" s="296"/>
    </row>
    <row r="433" spans="26:26">
      <c r="Z433" s="296"/>
    </row>
    <row r="434" spans="26:26">
      <c r="Z434" s="296"/>
    </row>
    <row r="435" spans="26:26">
      <c r="Z435" s="296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8"/>
  <sheetViews>
    <sheetView zoomScale="89" zoomScaleNormal="89" zoomScaleSheetLayoutView="50" workbookViewId="0">
      <pane xSplit="3" ySplit="8" topLeftCell="E198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6" width="19.2818181818182" style="897" customWidth="1"/>
    <col min="7" max="7" width="19.2818181818182" style="1" customWidth="1"/>
    <col min="8" max="8" width="18.2818181818182" style="1" customWidth="1"/>
    <col min="9" max="9" width="18.1363636363636" style="1" customWidth="1"/>
    <col min="10" max="17" width="19.6363636363636" style="1" customWidth="1"/>
    <col min="18" max="16384" width="9.13636363636364" style="1"/>
  </cols>
  <sheetData>
    <row r="1" ht="27" customHeight="1" spans="1:17">
      <c r="A1" s="898" t="s">
        <v>0</v>
      </c>
      <c r="B1" s="898"/>
      <c r="C1" s="898"/>
      <c r="D1" s="898"/>
      <c r="E1" s="898"/>
      <c r="F1" s="899"/>
      <c r="G1" s="898"/>
      <c r="H1" s="900"/>
      <c r="I1" s="900"/>
      <c r="J1" s="217"/>
      <c r="K1" s="217"/>
      <c r="L1" s="217"/>
      <c r="M1" s="217"/>
      <c r="N1" s="217"/>
      <c r="O1" s="217"/>
      <c r="P1" s="217"/>
      <c r="Q1" s="217"/>
    </row>
    <row r="2" ht="33.75" customHeight="1" spans="1:17">
      <c r="A2" s="898" t="s">
        <v>605</v>
      </c>
      <c r="B2" s="901"/>
      <c r="C2" s="898"/>
      <c r="D2" s="898"/>
      <c r="E2" s="902"/>
      <c r="F2" s="903"/>
      <c r="G2" s="902"/>
      <c r="H2" s="904"/>
      <c r="I2" s="904"/>
      <c r="J2" s="299"/>
      <c r="K2" s="299"/>
      <c r="L2" s="299"/>
      <c r="M2" s="299"/>
      <c r="N2" s="299"/>
      <c r="O2" s="299"/>
      <c r="P2" s="299"/>
      <c r="Q2" s="299"/>
    </row>
    <row r="3" ht="9.75" customHeight="1" spans="1:17">
      <c r="A3" s="4"/>
      <c r="B3" s="4"/>
      <c r="C3" s="4"/>
      <c r="D3" s="4"/>
      <c r="E3" s="900" t="e">
        <f>'[1]FEB 08'!E11/'[1]FEB 08'!M11</f>
        <v>#REF!</v>
      </c>
      <c r="F3" s="905"/>
      <c r="G3" s="900"/>
      <c r="H3" s="900"/>
      <c r="I3" s="900"/>
      <c r="J3" s="217"/>
      <c r="K3" s="217"/>
      <c r="L3" s="217"/>
      <c r="M3" s="217"/>
      <c r="N3" s="217"/>
      <c r="O3" s="217"/>
      <c r="P3" s="217"/>
      <c r="Q3" s="217"/>
    </row>
    <row r="4" ht="49.5" customHeight="1" spans="1:17">
      <c r="A4" s="4"/>
      <c r="B4" s="5" t="s">
        <v>2</v>
      </c>
      <c r="C4" s="6" t="s">
        <v>3</v>
      </c>
      <c r="D4" s="7" t="s">
        <v>4</v>
      </c>
      <c r="E4" s="218" t="s">
        <v>516</v>
      </c>
      <c r="F4" s="906" t="s">
        <v>490</v>
      </c>
      <c r="G4" s="218" t="s">
        <v>517</v>
      </c>
      <c r="H4" s="218" t="s">
        <v>518</v>
      </c>
      <c r="I4" s="218" t="s">
        <v>519</v>
      </c>
      <c r="J4" s="914" t="s">
        <v>520</v>
      </c>
      <c r="K4" s="914" t="s">
        <v>521</v>
      </c>
      <c r="L4" s="914" t="s">
        <v>522</v>
      </c>
      <c r="M4" s="914" t="s">
        <v>523</v>
      </c>
      <c r="N4" s="914" t="s">
        <v>524</v>
      </c>
      <c r="O4" s="914" t="s">
        <v>499</v>
      </c>
      <c r="P4" s="914" t="s">
        <v>525</v>
      </c>
      <c r="Q4" s="914" t="s">
        <v>526</v>
      </c>
    </row>
    <row r="5" ht="17.25" customHeight="1" spans="1:17">
      <c r="A5" s="4"/>
      <c r="B5" s="4"/>
      <c r="C5" s="8"/>
      <c r="D5" s="8"/>
      <c r="E5" s="82" t="s">
        <v>20</v>
      </c>
      <c r="F5" s="907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</row>
    <row r="6" ht="17.25" customHeight="1" spans="1:17">
      <c r="A6" s="4"/>
      <c r="B6" s="4"/>
      <c r="C6" s="8"/>
      <c r="D6" s="8"/>
      <c r="E6" s="10" t="s">
        <v>527</v>
      </c>
      <c r="F6" s="908" t="s">
        <v>528</v>
      </c>
      <c r="G6" s="10" t="s">
        <v>529</v>
      </c>
      <c r="H6" s="10" t="s">
        <v>530</v>
      </c>
      <c r="I6" s="915" t="s">
        <v>531</v>
      </c>
      <c r="J6" s="915" t="s">
        <v>532</v>
      </c>
      <c r="K6" s="915" t="s">
        <v>533</v>
      </c>
      <c r="L6" s="915" t="s">
        <v>534</v>
      </c>
      <c r="M6" s="915" t="s">
        <v>535</v>
      </c>
      <c r="N6" s="915" t="s">
        <v>536</v>
      </c>
      <c r="O6" s="915" t="s">
        <v>537</v>
      </c>
      <c r="P6" s="915" t="s">
        <v>538</v>
      </c>
      <c r="Q6" s="915" t="s">
        <v>539</v>
      </c>
    </row>
    <row r="7" customHeight="1" spans="1:17">
      <c r="A7" s="9" t="s">
        <v>21</v>
      </c>
      <c r="B7" s="8" t="s">
        <v>22</v>
      </c>
      <c r="C7" s="8"/>
      <c r="D7" s="8"/>
      <c r="E7" s="10"/>
      <c r="F7" s="908"/>
      <c r="G7" s="10"/>
      <c r="H7" s="10" t="s">
        <v>540</v>
      </c>
      <c r="I7" s="10" t="s">
        <v>541</v>
      </c>
      <c r="J7" s="915" t="s">
        <v>542</v>
      </c>
      <c r="K7" s="915" t="s">
        <v>543</v>
      </c>
      <c r="L7" s="915" t="s">
        <v>544</v>
      </c>
      <c r="M7" s="915"/>
      <c r="N7" s="915" t="s">
        <v>545</v>
      </c>
      <c r="O7" s="915" t="s">
        <v>546</v>
      </c>
      <c r="P7" s="915" t="s">
        <v>546</v>
      </c>
      <c r="Q7" s="915" t="s">
        <v>546</v>
      </c>
    </row>
    <row r="8" customHeight="1" spans="1:1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909">
        <v>1086777.08333333</v>
      </c>
      <c r="G8" s="85">
        <v>884360</v>
      </c>
      <c r="H8" s="220">
        <f t="shared" ref="H8:H38" si="0">F8+G8</f>
        <v>1971137.08333333</v>
      </c>
      <c r="I8" s="220">
        <f t="shared" ref="I8:I38" si="1">H8-E8</f>
        <v>311385.91633333</v>
      </c>
      <c r="J8" s="916"/>
      <c r="K8" s="916"/>
      <c r="L8" s="916">
        <f t="shared" ref="L8:L38" si="2">K8-J8</f>
        <v>0</v>
      </c>
      <c r="M8" s="916"/>
      <c r="N8" s="916"/>
      <c r="O8" s="916">
        <f t="shared" ref="O8:O38" si="3">N8-M8</f>
        <v>0</v>
      </c>
      <c r="P8" s="916">
        <f t="shared" ref="P8:P38" si="4">K8*12</f>
        <v>0</v>
      </c>
      <c r="Q8" s="916">
        <f t="shared" ref="Q8:Q38" si="5">N8*12</f>
        <v>0</v>
      </c>
    </row>
    <row r="9" customHeight="1" spans="1:1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909">
        <v>554669.5</v>
      </c>
      <c r="G9" s="85">
        <v>350637.25</v>
      </c>
      <c r="H9" s="220">
        <f t="shared" si="0"/>
        <v>905306.75</v>
      </c>
      <c r="I9" s="220">
        <f t="shared" si="1"/>
        <v>142933.583333333</v>
      </c>
      <c r="J9" s="916">
        <v>60989.8533333333</v>
      </c>
      <c r="K9" s="916">
        <f t="shared" ref="K9:K38" si="6">H9*0.08</f>
        <v>72424.54</v>
      </c>
      <c r="L9" s="916">
        <f t="shared" si="2"/>
        <v>11434.6866666667</v>
      </c>
      <c r="M9" s="916"/>
      <c r="N9" s="916"/>
      <c r="O9" s="916">
        <f t="shared" si="3"/>
        <v>0</v>
      </c>
      <c r="P9" s="916">
        <f t="shared" si="4"/>
        <v>869094.48</v>
      </c>
      <c r="Q9" s="916">
        <f t="shared" si="5"/>
        <v>0</v>
      </c>
    </row>
    <row r="10" customHeight="1" spans="1:1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909">
        <v>554669.5</v>
      </c>
      <c r="G10" s="85">
        <v>350637.25</v>
      </c>
      <c r="H10" s="220">
        <f t="shared" si="0"/>
        <v>905306.75</v>
      </c>
      <c r="I10" s="220">
        <f t="shared" si="1"/>
        <v>142933.583333333</v>
      </c>
      <c r="J10" s="916"/>
      <c r="K10" s="916"/>
      <c r="L10" s="916">
        <f t="shared" si="2"/>
        <v>0</v>
      </c>
      <c r="M10" s="916"/>
      <c r="N10" s="916"/>
      <c r="O10" s="916">
        <f t="shared" si="3"/>
        <v>0</v>
      </c>
      <c r="P10" s="916">
        <f t="shared" si="4"/>
        <v>0</v>
      </c>
      <c r="Q10" s="916">
        <f t="shared" si="5"/>
        <v>0</v>
      </c>
    </row>
    <row r="11" customHeight="1" spans="1:1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909">
        <v>554669.5</v>
      </c>
      <c r="G11" s="85">
        <v>350637.25</v>
      </c>
      <c r="H11" s="220">
        <f t="shared" si="0"/>
        <v>905306.75</v>
      </c>
      <c r="I11" s="220">
        <f t="shared" si="1"/>
        <v>142933.583333333</v>
      </c>
      <c r="J11" s="916">
        <v>60989.8533333333</v>
      </c>
      <c r="K11" s="916">
        <f t="shared" si="6"/>
        <v>72424.54</v>
      </c>
      <c r="L11" s="916">
        <f t="shared" si="2"/>
        <v>11434.6866666667</v>
      </c>
      <c r="M11" s="916">
        <v>10293.3979166667</v>
      </c>
      <c r="N11" s="916">
        <f t="shared" ref="N11:N13" si="7">0.025*F11</f>
        <v>13866.7375</v>
      </c>
      <c r="O11" s="916">
        <f t="shared" si="3"/>
        <v>3573.3395833333</v>
      </c>
      <c r="P11" s="916">
        <f t="shared" si="4"/>
        <v>869094.48</v>
      </c>
      <c r="Q11" s="916">
        <f t="shared" si="5"/>
        <v>166400.85</v>
      </c>
    </row>
    <row r="12" customHeight="1" spans="1:17">
      <c r="A12" s="10">
        <v>5</v>
      </c>
      <c r="B12" s="11" t="s">
        <v>33</v>
      </c>
      <c r="C12" s="12" t="s">
        <v>34</v>
      </c>
      <c r="D12" s="15" t="s">
        <v>506</v>
      </c>
      <c r="E12" s="85">
        <v>716034</v>
      </c>
      <c r="F12" s="909">
        <f>'[18] FGN 2024 MGT Monthly'!$H$44</f>
        <v>523386.5</v>
      </c>
      <c r="G12" s="85">
        <f>'[18]Peculiar Allowance'!$H$44</f>
        <v>329324.583333333</v>
      </c>
      <c r="H12" s="220">
        <f t="shared" si="0"/>
        <v>852711.083333333</v>
      </c>
      <c r="I12" s="220">
        <f t="shared" si="1"/>
        <v>136677.083333333</v>
      </c>
      <c r="J12" s="916">
        <v>59136.2866666667</v>
      </c>
      <c r="K12" s="916">
        <f t="shared" si="6"/>
        <v>68216.8866666667</v>
      </c>
      <c r="L12" s="916">
        <f t="shared" si="2"/>
        <v>9080.59999999995</v>
      </c>
      <c r="M12" s="916">
        <v>10293.3979166667</v>
      </c>
      <c r="N12" s="916">
        <f t="shared" si="7"/>
        <v>13084.6625</v>
      </c>
      <c r="O12" s="916">
        <f t="shared" si="3"/>
        <v>2791.2645833333</v>
      </c>
      <c r="P12" s="916">
        <f t="shared" si="4"/>
        <v>818602.64</v>
      </c>
      <c r="Q12" s="916">
        <f t="shared" si="5"/>
        <v>157015.95</v>
      </c>
    </row>
    <row r="13" customHeight="1" spans="1:17">
      <c r="A13" s="10">
        <v>6</v>
      </c>
      <c r="B13" s="11" t="s">
        <v>36</v>
      </c>
      <c r="C13" s="4" t="s">
        <v>37</v>
      </c>
      <c r="D13" s="10" t="s">
        <v>49</v>
      </c>
      <c r="E13" s="85">
        <v>601396.833333333</v>
      </c>
      <c r="F13" s="909">
        <v>445995.833333333</v>
      </c>
      <c r="G13" s="85">
        <v>276599.666666667</v>
      </c>
      <c r="H13" s="220">
        <f t="shared" si="0"/>
        <v>722595.5</v>
      </c>
      <c r="I13" s="220">
        <f t="shared" si="1"/>
        <v>121198.666666667</v>
      </c>
      <c r="J13" s="916">
        <v>46569.4466666667</v>
      </c>
      <c r="K13" s="916">
        <f t="shared" si="6"/>
        <v>57807.64</v>
      </c>
      <c r="L13" s="916">
        <f t="shared" si="2"/>
        <v>11238.1933333333</v>
      </c>
      <c r="M13" s="916">
        <v>7859.63125</v>
      </c>
      <c r="N13" s="916">
        <f t="shared" si="7"/>
        <v>11149.8958333333</v>
      </c>
      <c r="O13" s="916">
        <f t="shared" si="3"/>
        <v>3290.26458333333</v>
      </c>
      <c r="P13" s="916">
        <f t="shared" si="4"/>
        <v>693691.68</v>
      </c>
      <c r="Q13" s="916">
        <f t="shared" si="5"/>
        <v>133798.75</v>
      </c>
    </row>
    <row r="14" customHeight="1" spans="1:17">
      <c r="A14" s="10">
        <v>7</v>
      </c>
      <c r="B14" s="11" t="s">
        <v>39</v>
      </c>
      <c r="C14" s="4" t="s">
        <v>547</v>
      </c>
      <c r="D14" s="15" t="s">
        <v>189</v>
      </c>
      <c r="E14" s="85">
        <v>484373.75</v>
      </c>
      <c r="F14" s="909">
        <v>366417.5</v>
      </c>
      <c r="G14" s="85">
        <v>223239.5</v>
      </c>
      <c r="H14" s="220">
        <f t="shared" si="0"/>
        <v>589657</v>
      </c>
      <c r="I14" s="220">
        <f t="shared" si="1"/>
        <v>105283.25</v>
      </c>
      <c r="J14" s="916">
        <v>38749.9</v>
      </c>
      <c r="K14" s="916">
        <f t="shared" si="6"/>
        <v>47172.56</v>
      </c>
      <c r="L14" s="916">
        <f t="shared" si="2"/>
        <v>8422.66</v>
      </c>
      <c r="M14" s="916"/>
      <c r="N14" s="916"/>
      <c r="O14" s="916">
        <f t="shared" si="3"/>
        <v>0</v>
      </c>
      <c r="P14" s="916">
        <f t="shared" si="4"/>
        <v>566070.72</v>
      </c>
      <c r="Q14" s="916">
        <f t="shared" si="5"/>
        <v>0</v>
      </c>
    </row>
    <row r="15" customHeight="1" spans="1:17">
      <c r="A15" s="10">
        <v>8</v>
      </c>
      <c r="B15" s="14" t="s">
        <v>42</v>
      </c>
      <c r="C15" s="17" t="s">
        <v>43</v>
      </c>
      <c r="D15" s="15" t="s">
        <v>49</v>
      </c>
      <c r="E15" s="85">
        <v>601396.833333333</v>
      </c>
      <c r="F15" s="909">
        <f>'[18] FGN 2024 MGT Monthly'!$I$43</f>
        <v>445995.833333333</v>
      </c>
      <c r="G15" s="85">
        <v>276599.666666667</v>
      </c>
      <c r="H15" s="220">
        <f t="shared" si="0"/>
        <v>722595.5</v>
      </c>
      <c r="I15" s="220">
        <f t="shared" si="1"/>
        <v>121198.666666667</v>
      </c>
      <c r="J15" s="916">
        <v>46569.45</v>
      </c>
      <c r="K15" s="916">
        <f t="shared" si="6"/>
        <v>57807.64</v>
      </c>
      <c r="L15" s="916">
        <f t="shared" si="2"/>
        <v>11238.19</v>
      </c>
      <c r="M15" s="916"/>
      <c r="N15" s="916"/>
      <c r="O15" s="916">
        <f t="shared" si="3"/>
        <v>0</v>
      </c>
      <c r="P15" s="916">
        <f t="shared" si="4"/>
        <v>693691.68</v>
      </c>
      <c r="Q15" s="916">
        <f t="shared" si="5"/>
        <v>0</v>
      </c>
    </row>
    <row r="16" customHeight="1" spans="1:17">
      <c r="A16" s="10">
        <v>9</v>
      </c>
      <c r="B16" s="11" t="s">
        <v>44</v>
      </c>
      <c r="C16" s="4" t="s">
        <v>45</v>
      </c>
      <c r="D16" s="10" t="s">
        <v>212</v>
      </c>
      <c r="E16" s="85">
        <v>456622.25</v>
      </c>
      <c r="F16" s="909">
        <v>347715.916666667</v>
      </c>
      <c r="G16" s="85">
        <v>210449.333333333</v>
      </c>
      <c r="H16" s="220">
        <f t="shared" si="0"/>
        <v>558165.25</v>
      </c>
      <c r="I16" s="220">
        <f t="shared" si="1"/>
        <v>101543</v>
      </c>
      <c r="J16" s="916">
        <v>35419.72</v>
      </c>
      <c r="K16" s="916">
        <f t="shared" si="6"/>
        <v>44653.22</v>
      </c>
      <c r="L16" s="916">
        <f t="shared" si="2"/>
        <v>9233.5</v>
      </c>
      <c r="M16" s="916"/>
      <c r="N16" s="916"/>
      <c r="O16" s="916">
        <f t="shared" si="3"/>
        <v>0</v>
      </c>
      <c r="P16" s="916">
        <f t="shared" si="4"/>
        <v>535838.64</v>
      </c>
      <c r="Q16" s="916">
        <f t="shared" si="5"/>
        <v>0</v>
      </c>
    </row>
    <row r="17" customHeight="1" spans="1:17">
      <c r="A17" s="10">
        <v>10</v>
      </c>
      <c r="B17" s="11" t="s">
        <v>47</v>
      </c>
      <c r="C17" s="4" t="s">
        <v>48</v>
      </c>
      <c r="D17" s="10" t="s">
        <v>41</v>
      </c>
      <c r="E17" s="85">
        <v>582118.083333333</v>
      </c>
      <c r="F17" s="909">
        <v>432981.083333333</v>
      </c>
      <c r="G17" s="85">
        <v>267732.833333333</v>
      </c>
      <c r="H17" s="220">
        <f t="shared" si="0"/>
        <v>700713.916666666</v>
      </c>
      <c r="I17" s="220">
        <f t="shared" si="1"/>
        <v>118595.833333333</v>
      </c>
      <c r="J17" s="916">
        <v>46569.45</v>
      </c>
      <c r="K17" s="916">
        <f t="shared" si="6"/>
        <v>56057.1133333333</v>
      </c>
      <c r="L17" s="916">
        <f t="shared" si="2"/>
        <v>9487.66333333329</v>
      </c>
      <c r="M17" s="916"/>
      <c r="N17" s="916"/>
      <c r="O17" s="916">
        <f t="shared" si="3"/>
        <v>0</v>
      </c>
      <c r="P17" s="916">
        <f t="shared" si="4"/>
        <v>672685.359999999</v>
      </c>
      <c r="Q17" s="916">
        <f t="shared" si="5"/>
        <v>0</v>
      </c>
    </row>
    <row r="18" customHeight="1" spans="1:17">
      <c r="A18" s="10">
        <v>11</v>
      </c>
      <c r="B18" s="11" t="s">
        <v>50</v>
      </c>
      <c r="C18" s="12" t="s">
        <v>60</v>
      </c>
      <c r="D18" s="15" t="s">
        <v>55</v>
      </c>
      <c r="E18" s="85">
        <v>441804.916666667</v>
      </c>
      <c r="F18" s="909">
        <v>337730.833333333</v>
      </c>
      <c r="G18" s="85">
        <v>203620.5</v>
      </c>
      <c r="H18" s="220">
        <f t="shared" si="0"/>
        <v>541351.333333333</v>
      </c>
      <c r="I18" s="220">
        <f t="shared" si="1"/>
        <v>99546.416666666</v>
      </c>
      <c r="J18" s="916">
        <v>34313.2733333333</v>
      </c>
      <c r="K18" s="916">
        <f t="shared" si="6"/>
        <v>43308.1066666666</v>
      </c>
      <c r="L18" s="916">
        <f t="shared" si="2"/>
        <v>8994.83333333334</v>
      </c>
      <c r="M18" s="916"/>
      <c r="N18" s="916"/>
      <c r="O18" s="916">
        <f t="shared" si="3"/>
        <v>0</v>
      </c>
      <c r="P18" s="916">
        <f t="shared" si="4"/>
        <v>519697.28</v>
      </c>
      <c r="Q18" s="916">
        <f t="shared" si="5"/>
        <v>0</v>
      </c>
    </row>
    <row r="19" customHeight="1" spans="1:17">
      <c r="A19" s="10">
        <v>12</v>
      </c>
      <c r="B19" s="18" t="s">
        <v>53</v>
      </c>
      <c r="C19" s="4" t="s">
        <v>54</v>
      </c>
      <c r="D19" s="15" t="s">
        <v>548</v>
      </c>
      <c r="E19" s="85">
        <v>428915.916666667</v>
      </c>
      <c r="F19" s="909">
        <v>329044.916666667</v>
      </c>
      <c r="G19" s="85">
        <v>197680.166666667</v>
      </c>
      <c r="H19" s="220">
        <f t="shared" si="0"/>
        <v>526725.083333334</v>
      </c>
      <c r="I19" s="220">
        <f t="shared" si="1"/>
        <v>97809.166666667</v>
      </c>
      <c r="J19" s="916">
        <v>33282.1533333333</v>
      </c>
      <c r="K19" s="916">
        <f t="shared" si="6"/>
        <v>42138.0066666667</v>
      </c>
      <c r="L19" s="916">
        <f t="shared" si="2"/>
        <v>8855.85333333342</v>
      </c>
      <c r="M19" s="916">
        <v>5607.17708333333</v>
      </c>
      <c r="N19" s="916">
        <f t="shared" ref="N19:N22" si="8">0.025*F19</f>
        <v>8226.12291666667</v>
      </c>
      <c r="O19" s="916">
        <f t="shared" si="3"/>
        <v>2618.94583333334</v>
      </c>
      <c r="P19" s="916">
        <f t="shared" si="4"/>
        <v>505656.080000001</v>
      </c>
      <c r="Q19" s="916">
        <f t="shared" si="5"/>
        <v>98713.4750000001</v>
      </c>
    </row>
    <row r="20" customHeight="1" spans="1:17">
      <c r="A20" s="10">
        <v>13</v>
      </c>
      <c r="B20" s="18" t="s">
        <v>56</v>
      </c>
      <c r="C20" s="4" t="s">
        <v>57</v>
      </c>
      <c r="D20" s="15" t="s">
        <v>503</v>
      </c>
      <c r="E20" s="676">
        <v>403138</v>
      </c>
      <c r="F20" s="909">
        <v>311673.25</v>
      </c>
      <c r="G20" s="85">
        <v>185799.5</v>
      </c>
      <c r="H20" s="220">
        <f t="shared" si="0"/>
        <v>497472.75</v>
      </c>
      <c r="I20" s="220">
        <f t="shared" si="1"/>
        <v>94334.75</v>
      </c>
      <c r="J20" s="916">
        <v>31219.9133333334</v>
      </c>
      <c r="K20" s="916">
        <f t="shared" si="6"/>
        <v>39797.82</v>
      </c>
      <c r="L20" s="916">
        <f t="shared" si="2"/>
        <v>8577.9066666666</v>
      </c>
      <c r="M20" s="916">
        <v>5967.30625</v>
      </c>
      <c r="N20" s="916">
        <f t="shared" si="8"/>
        <v>7791.83125</v>
      </c>
      <c r="O20" s="916">
        <f t="shared" si="3"/>
        <v>1824.525</v>
      </c>
      <c r="P20" s="916">
        <f t="shared" si="4"/>
        <v>477573.84</v>
      </c>
      <c r="Q20" s="916">
        <f t="shared" si="5"/>
        <v>93501.975</v>
      </c>
    </row>
    <row r="21" customHeight="1" spans="1:17">
      <c r="A21" s="10">
        <v>14</v>
      </c>
      <c r="B21" s="18" t="s">
        <v>59</v>
      </c>
      <c r="C21" s="4" t="s">
        <v>60</v>
      </c>
      <c r="D21" s="15" t="s">
        <v>503</v>
      </c>
      <c r="E21" s="676">
        <v>403138</v>
      </c>
      <c r="F21" s="909">
        <v>311673.25</v>
      </c>
      <c r="G21" s="85">
        <v>185799.5</v>
      </c>
      <c r="H21" s="220">
        <f t="shared" si="0"/>
        <v>497472.75</v>
      </c>
      <c r="I21" s="220">
        <f t="shared" si="1"/>
        <v>94334.75</v>
      </c>
      <c r="J21" s="916">
        <v>31219.9133333334</v>
      </c>
      <c r="K21" s="916">
        <f t="shared" si="6"/>
        <v>39797.82</v>
      </c>
      <c r="L21" s="916">
        <f t="shared" si="2"/>
        <v>8577.9066666666</v>
      </c>
      <c r="M21" s="916"/>
      <c r="N21" s="916"/>
      <c r="O21" s="916">
        <f t="shared" si="3"/>
        <v>0</v>
      </c>
      <c r="P21" s="916">
        <f t="shared" si="4"/>
        <v>477573.84</v>
      </c>
      <c r="Q21" s="916">
        <f t="shared" si="5"/>
        <v>0</v>
      </c>
    </row>
    <row r="22" customHeight="1" spans="1:17">
      <c r="A22" s="10">
        <v>15</v>
      </c>
      <c r="B22" s="11" t="s">
        <v>61</v>
      </c>
      <c r="C22" s="12" t="s">
        <v>549</v>
      </c>
      <c r="D22" s="15" t="s">
        <v>259</v>
      </c>
      <c r="E22" s="85">
        <v>402278</v>
      </c>
      <c r="F22" s="909">
        <f>'[18] FGN 2024 MGT Monthly'!$L$40</f>
        <v>311094.416666667</v>
      </c>
      <c r="G22" s="85">
        <v>185402.75</v>
      </c>
      <c r="H22" s="220">
        <f t="shared" si="0"/>
        <v>496497.166666667</v>
      </c>
      <c r="I22" s="220">
        <f t="shared" si="1"/>
        <v>94219.1666666667</v>
      </c>
      <c r="J22" s="916">
        <v>31206.92</v>
      </c>
      <c r="K22" s="916">
        <f t="shared" si="6"/>
        <v>39719.7733333333</v>
      </c>
      <c r="L22" s="916">
        <f t="shared" si="2"/>
        <v>8512.85333333334</v>
      </c>
      <c r="M22" s="916">
        <v>5257.5625</v>
      </c>
      <c r="N22" s="916">
        <f t="shared" si="8"/>
        <v>7777.36041666667</v>
      </c>
      <c r="O22" s="916">
        <f t="shared" si="3"/>
        <v>2519.79791666667</v>
      </c>
      <c r="P22" s="916">
        <f t="shared" si="4"/>
        <v>476637.28</v>
      </c>
      <c r="Q22" s="916">
        <f t="shared" si="5"/>
        <v>93328.325</v>
      </c>
    </row>
    <row r="23" ht="18.75" customHeight="1" spans="1:17">
      <c r="A23" s="10">
        <v>16</v>
      </c>
      <c r="B23" s="11" t="s">
        <v>64</v>
      </c>
      <c r="C23" s="12" t="s">
        <v>176</v>
      </c>
      <c r="D23" s="15" t="s">
        <v>170</v>
      </c>
      <c r="E23" s="85">
        <v>390086.5</v>
      </c>
      <c r="F23" s="909">
        <v>302878.666666667</v>
      </c>
      <c r="G23" s="85">
        <v>179784</v>
      </c>
      <c r="H23" s="220">
        <f t="shared" si="0"/>
        <v>482662.666666667</v>
      </c>
      <c r="I23" s="220">
        <f t="shared" si="1"/>
        <v>92576.166666667</v>
      </c>
      <c r="J23" s="916">
        <v>30231.6133333333</v>
      </c>
      <c r="K23" s="916">
        <f t="shared" si="6"/>
        <v>38613.0133333334</v>
      </c>
      <c r="L23" s="916">
        <f t="shared" si="2"/>
        <v>8381.40000000006</v>
      </c>
      <c r="M23" s="916"/>
      <c r="N23" s="916"/>
      <c r="O23" s="916">
        <f t="shared" si="3"/>
        <v>0</v>
      </c>
      <c r="P23" s="916">
        <f t="shared" si="4"/>
        <v>463356.16</v>
      </c>
      <c r="Q23" s="916">
        <f t="shared" si="5"/>
        <v>0</v>
      </c>
    </row>
    <row r="24" customHeight="1" spans="1:17">
      <c r="A24" s="10">
        <v>17</v>
      </c>
      <c r="B24" s="14" t="s">
        <v>67</v>
      </c>
      <c r="C24" s="17" t="s">
        <v>68</v>
      </c>
      <c r="D24" s="10" t="s">
        <v>131</v>
      </c>
      <c r="E24" s="85">
        <v>365704</v>
      </c>
      <c r="F24" s="909">
        <v>286447.083333333</v>
      </c>
      <c r="G24" s="85">
        <v>168546.5</v>
      </c>
      <c r="H24" s="220">
        <f t="shared" si="0"/>
        <v>454993.583333333</v>
      </c>
      <c r="I24" s="220">
        <f t="shared" si="1"/>
        <v>89289.583333333</v>
      </c>
      <c r="J24" s="916">
        <v>28281</v>
      </c>
      <c r="K24" s="916">
        <f t="shared" si="6"/>
        <v>36399.4866666666</v>
      </c>
      <c r="L24" s="916">
        <f t="shared" si="2"/>
        <v>8118.48666666664</v>
      </c>
      <c r="M24" s="916"/>
      <c r="N24" s="916"/>
      <c r="O24" s="916">
        <f t="shared" si="3"/>
        <v>0</v>
      </c>
      <c r="P24" s="916">
        <f t="shared" si="4"/>
        <v>436793.84</v>
      </c>
      <c r="Q24" s="916">
        <f t="shared" si="5"/>
        <v>0</v>
      </c>
    </row>
    <row r="25" ht="21.6" customHeight="1" spans="1:17">
      <c r="A25" s="10">
        <v>18</v>
      </c>
      <c r="B25" s="11" t="s">
        <v>70</v>
      </c>
      <c r="C25" s="17" t="s">
        <v>71</v>
      </c>
      <c r="D25" s="15" t="s">
        <v>131</v>
      </c>
      <c r="E25" s="85">
        <v>365704</v>
      </c>
      <c r="F25" s="909">
        <v>286447.083333333</v>
      </c>
      <c r="G25" s="85">
        <v>168546.5</v>
      </c>
      <c r="H25" s="220">
        <f t="shared" si="0"/>
        <v>454993.583333333</v>
      </c>
      <c r="I25" s="220">
        <f t="shared" si="1"/>
        <v>89289.583333333</v>
      </c>
      <c r="J25" s="916">
        <v>28281</v>
      </c>
      <c r="K25" s="916">
        <f t="shared" si="6"/>
        <v>36399.4866666666</v>
      </c>
      <c r="L25" s="916">
        <f t="shared" si="2"/>
        <v>8118.48666666664</v>
      </c>
      <c r="M25" s="916"/>
      <c r="N25" s="916"/>
      <c r="O25" s="916">
        <f t="shared" si="3"/>
        <v>0</v>
      </c>
      <c r="P25" s="916">
        <f t="shared" si="4"/>
        <v>436793.84</v>
      </c>
      <c r="Q25" s="916">
        <f t="shared" si="5"/>
        <v>0</v>
      </c>
    </row>
    <row r="26" customHeight="1" spans="1:17">
      <c r="A26" s="10">
        <v>19</v>
      </c>
      <c r="B26" s="14" t="s">
        <v>72</v>
      </c>
      <c r="C26" s="17" t="s">
        <v>73</v>
      </c>
      <c r="D26" s="10" t="s">
        <v>80</v>
      </c>
      <c r="E26" s="85">
        <v>293029.666666667</v>
      </c>
      <c r="F26" s="909">
        <v>240874.583333333</v>
      </c>
      <c r="G26" s="85">
        <v>140266.083333333</v>
      </c>
      <c r="H26" s="220">
        <f t="shared" si="0"/>
        <v>381140.666666666</v>
      </c>
      <c r="I26" s="220">
        <f t="shared" si="1"/>
        <v>88110.999999999</v>
      </c>
      <c r="J26" s="916">
        <v>23442.3733333333</v>
      </c>
      <c r="K26" s="916">
        <f t="shared" si="6"/>
        <v>30491.2533333333</v>
      </c>
      <c r="L26" s="916">
        <f t="shared" si="2"/>
        <v>7048.87999999998</v>
      </c>
      <c r="M26" s="916"/>
      <c r="N26" s="916"/>
      <c r="O26" s="916">
        <f t="shared" si="3"/>
        <v>0</v>
      </c>
      <c r="P26" s="916">
        <f t="shared" si="4"/>
        <v>365895.039999999</v>
      </c>
      <c r="Q26" s="916">
        <f t="shared" si="5"/>
        <v>0</v>
      </c>
    </row>
    <row r="27" customHeight="1" spans="1:17">
      <c r="A27" s="10">
        <v>20</v>
      </c>
      <c r="B27" s="14" t="s">
        <v>75</v>
      </c>
      <c r="C27" s="17" t="s">
        <v>76</v>
      </c>
      <c r="D27" s="10" t="s">
        <v>74</v>
      </c>
      <c r="E27" s="85">
        <v>300965.583333333</v>
      </c>
      <c r="F27" s="909">
        <v>240874.583333333</v>
      </c>
      <c r="G27" s="85">
        <v>140266.083333333</v>
      </c>
      <c r="H27" s="220">
        <f t="shared" si="0"/>
        <v>381140.666666666</v>
      </c>
      <c r="I27" s="220">
        <f t="shared" si="1"/>
        <v>80175.083333333</v>
      </c>
      <c r="J27" s="916">
        <v>23442.3733333334</v>
      </c>
      <c r="K27" s="916">
        <f t="shared" si="6"/>
        <v>30491.2533333333</v>
      </c>
      <c r="L27" s="916">
        <f t="shared" si="2"/>
        <v>7048.87999999988</v>
      </c>
      <c r="M27" s="916"/>
      <c r="N27" s="916"/>
      <c r="O27" s="916">
        <f t="shared" si="3"/>
        <v>0</v>
      </c>
      <c r="P27" s="916">
        <f t="shared" si="4"/>
        <v>365895.039999999</v>
      </c>
      <c r="Q27" s="916">
        <f t="shared" si="5"/>
        <v>0</v>
      </c>
    </row>
    <row r="28" ht="18.75" customHeight="1" spans="1:17">
      <c r="A28" s="10">
        <v>21</v>
      </c>
      <c r="B28" s="4" t="s">
        <v>485</v>
      </c>
      <c r="C28" s="4" t="s">
        <v>94</v>
      </c>
      <c r="D28" s="10" t="s">
        <v>85</v>
      </c>
      <c r="E28" s="85">
        <v>277798</v>
      </c>
      <c r="F28" s="909">
        <v>227615.75</v>
      </c>
      <c r="G28" s="85">
        <v>127704.916666667</v>
      </c>
      <c r="H28" s="220">
        <f t="shared" si="0"/>
        <v>355320.666666667</v>
      </c>
      <c r="I28" s="220">
        <f t="shared" si="1"/>
        <v>77522.666666667</v>
      </c>
      <c r="J28" s="916">
        <v>21638.5333333333</v>
      </c>
      <c r="K28" s="916">
        <f t="shared" si="6"/>
        <v>28425.6533333334</v>
      </c>
      <c r="L28" s="916">
        <f t="shared" si="2"/>
        <v>6787.12000000006</v>
      </c>
      <c r="M28" s="916"/>
      <c r="N28" s="916"/>
      <c r="O28" s="916">
        <f t="shared" si="3"/>
        <v>0</v>
      </c>
      <c r="P28" s="916">
        <f t="shared" si="4"/>
        <v>341107.84</v>
      </c>
      <c r="Q28" s="916">
        <f t="shared" si="5"/>
        <v>0</v>
      </c>
    </row>
    <row r="29" ht="18.75" customHeight="1" spans="1:17">
      <c r="A29" s="10">
        <v>22</v>
      </c>
      <c r="B29" s="18" t="s">
        <v>78</v>
      </c>
      <c r="C29" s="12" t="s">
        <v>94</v>
      </c>
      <c r="D29" s="15" t="s">
        <v>85</v>
      </c>
      <c r="E29" s="85">
        <v>277798</v>
      </c>
      <c r="F29" s="909">
        <v>227615.75</v>
      </c>
      <c r="G29" s="85">
        <v>127704.916666667</v>
      </c>
      <c r="H29" s="220">
        <f t="shared" si="0"/>
        <v>355320.666666667</v>
      </c>
      <c r="I29" s="220">
        <f t="shared" si="1"/>
        <v>77522.666666667</v>
      </c>
      <c r="J29" s="916">
        <v>21638.5333333333</v>
      </c>
      <c r="K29" s="916">
        <f t="shared" si="6"/>
        <v>28425.6533333334</v>
      </c>
      <c r="L29" s="916">
        <f t="shared" si="2"/>
        <v>6787.12000000006</v>
      </c>
      <c r="M29" s="916"/>
      <c r="N29" s="916"/>
      <c r="O29" s="916">
        <f t="shared" si="3"/>
        <v>0</v>
      </c>
      <c r="P29" s="916">
        <f t="shared" si="4"/>
        <v>341107.84</v>
      </c>
      <c r="Q29" s="916">
        <f t="shared" si="5"/>
        <v>0</v>
      </c>
    </row>
    <row r="30" customHeight="1" spans="1:17">
      <c r="A30" s="10">
        <v>23</v>
      </c>
      <c r="B30" s="11" t="s">
        <v>81</v>
      </c>
      <c r="C30" s="17" t="s">
        <v>68</v>
      </c>
      <c r="D30" s="10" t="s">
        <v>85</v>
      </c>
      <c r="E30" s="85">
        <v>277798</v>
      </c>
      <c r="F30" s="909">
        <v>227615.75</v>
      </c>
      <c r="G30" s="85">
        <v>127704.916666667</v>
      </c>
      <c r="H30" s="220">
        <f t="shared" si="0"/>
        <v>355320.666666667</v>
      </c>
      <c r="I30" s="220">
        <f t="shared" si="1"/>
        <v>77522.666666667</v>
      </c>
      <c r="J30" s="916">
        <v>21638.5333333333</v>
      </c>
      <c r="K30" s="916">
        <f t="shared" si="6"/>
        <v>28425.6533333334</v>
      </c>
      <c r="L30" s="916">
        <f t="shared" si="2"/>
        <v>6787.12000000006</v>
      </c>
      <c r="M30" s="916"/>
      <c r="N30" s="916"/>
      <c r="O30" s="916">
        <f t="shared" si="3"/>
        <v>0</v>
      </c>
      <c r="P30" s="916">
        <f t="shared" si="4"/>
        <v>341107.84</v>
      </c>
      <c r="Q30" s="916">
        <f t="shared" si="5"/>
        <v>0</v>
      </c>
    </row>
    <row r="31" ht="18.75" customHeight="1" spans="1:17">
      <c r="A31" s="10">
        <v>24</v>
      </c>
      <c r="B31" s="18" t="s">
        <v>83</v>
      </c>
      <c r="C31" s="12" t="s">
        <v>84</v>
      </c>
      <c r="D31" s="15" t="s">
        <v>88</v>
      </c>
      <c r="E31" s="85">
        <v>270481.666666667</v>
      </c>
      <c r="F31" s="909">
        <v>222674.583333333</v>
      </c>
      <c r="G31" s="85">
        <v>124341.583333333</v>
      </c>
      <c r="H31" s="220">
        <f t="shared" si="0"/>
        <v>347016.166666666</v>
      </c>
      <c r="I31" s="220">
        <f t="shared" si="1"/>
        <v>76534.499999999</v>
      </c>
      <c r="J31" s="916">
        <v>21053.2266666667</v>
      </c>
      <c r="K31" s="916">
        <f t="shared" si="6"/>
        <v>27761.2933333333</v>
      </c>
      <c r="L31" s="916">
        <f t="shared" si="2"/>
        <v>6708.06666666658</v>
      </c>
      <c r="M31" s="916"/>
      <c r="N31" s="916"/>
      <c r="O31" s="916">
        <f t="shared" si="3"/>
        <v>0</v>
      </c>
      <c r="P31" s="916">
        <f t="shared" si="4"/>
        <v>333135.519999999</v>
      </c>
      <c r="Q31" s="916">
        <f t="shared" si="5"/>
        <v>0</v>
      </c>
    </row>
    <row r="32" ht="18.75" customHeight="1" spans="1:17">
      <c r="A32" s="10">
        <v>25</v>
      </c>
      <c r="B32" s="18" t="s">
        <v>86</v>
      </c>
      <c r="C32" s="4" t="s">
        <v>87</v>
      </c>
      <c r="D32" s="10" t="s">
        <v>99</v>
      </c>
      <c r="E32" s="85">
        <v>263165.333333333</v>
      </c>
      <c r="F32" s="909">
        <v>217733.416666667</v>
      </c>
      <c r="G32" s="85">
        <v>120978.25</v>
      </c>
      <c r="H32" s="220">
        <f t="shared" si="0"/>
        <v>338711.666666667</v>
      </c>
      <c r="I32" s="220">
        <f t="shared" si="1"/>
        <v>75546.333333334</v>
      </c>
      <c r="J32" s="916">
        <v>20467.92</v>
      </c>
      <c r="K32" s="916">
        <f t="shared" si="6"/>
        <v>27096.9333333334</v>
      </c>
      <c r="L32" s="916">
        <f t="shared" si="2"/>
        <v>6629.01333333336</v>
      </c>
      <c r="M32" s="916"/>
      <c r="N32" s="916"/>
      <c r="O32" s="916">
        <f t="shared" si="3"/>
        <v>0</v>
      </c>
      <c r="P32" s="916">
        <f t="shared" si="4"/>
        <v>325163.2</v>
      </c>
      <c r="Q32" s="916">
        <f t="shared" si="5"/>
        <v>0</v>
      </c>
    </row>
    <row r="33" ht="18.75" customHeight="1" spans="1:17">
      <c r="A33" s="10">
        <v>26</v>
      </c>
      <c r="B33" s="18" t="s">
        <v>89</v>
      </c>
      <c r="C33" s="4" t="s">
        <v>87</v>
      </c>
      <c r="D33" s="10" t="s">
        <v>99</v>
      </c>
      <c r="E33" s="85">
        <v>263165.333333333</v>
      </c>
      <c r="F33" s="909">
        <v>217733.416666667</v>
      </c>
      <c r="G33" s="85">
        <v>120978.25</v>
      </c>
      <c r="H33" s="220">
        <f t="shared" si="0"/>
        <v>338711.666666667</v>
      </c>
      <c r="I33" s="220">
        <f t="shared" si="1"/>
        <v>75546.333333334</v>
      </c>
      <c r="J33" s="916">
        <v>20467.92</v>
      </c>
      <c r="K33" s="916">
        <f t="shared" si="6"/>
        <v>27096.9333333334</v>
      </c>
      <c r="L33" s="916">
        <f t="shared" si="2"/>
        <v>6629.01333333336</v>
      </c>
      <c r="M33" s="916"/>
      <c r="N33" s="916"/>
      <c r="O33" s="916">
        <f t="shared" si="3"/>
        <v>0</v>
      </c>
      <c r="P33" s="916">
        <f t="shared" si="4"/>
        <v>325163.2</v>
      </c>
      <c r="Q33" s="916">
        <f t="shared" si="5"/>
        <v>0</v>
      </c>
    </row>
    <row r="34" ht="18.75" customHeight="1" spans="1:17">
      <c r="A34" s="10">
        <v>27</v>
      </c>
      <c r="B34" s="18" t="s">
        <v>91</v>
      </c>
      <c r="C34" s="17" t="s">
        <v>550</v>
      </c>
      <c r="D34" s="15" t="s">
        <v>85</v>
      </c>
      <c r="E34" s="85">
        <v>277798</v>
      </c>
      <c r="F34" s="909">
        <v>227615.75</v>
      </c>
      <c r="G34" s="85">
        <v>127704.916666667</v>
      </c>
      <c r="H34" s="220">
        <f t="shared" si="0"/>
        <v>355320.666666667</v>
      </c>
      <c r="I34" s="220">
        <f t="shared" si="1"/>
        <v>77522.666666667</v>
      </c>
      <c r="J34" s="916">
        <v>21638.5333333333</v>
      </c>
      <c r="K34" s="916">
        <f t="shared" si="6"/>
        <v>28425.6533333334</v>
      </c>
      <c r="L34" s="916">
        <f t="shared" si="2"/>
        <v>6787.12000000006</v>
      </c>
      <c r="M34" s="916">
        <v>3653.5</v>
      </c>
      <c r="N34" s="916">
        <f>0.025*F34</f>
        <v>5690.39375</v>
      </c>
      <c r="O34" s="916">
        <f t="shared" si="3"/>
        <v>2036.89375</v>
      </c>
      <c r="P34" s="916">
        <f t="shared" si="4"/>
        <v>341107.84</v>
      </c>
      <c r="Q34" s="916">
        <f t="shared" si="5"/>
        <v>68284.725</v>
      </c>
    </row>
    <row r="35" ht="18.75" customHeight="1" spans="1:17">
      <c r="A35" s="10">
        <v>28</v>
      </c>
      <c r="B35" s="18" t="s">
        <v>93</v>
      </c>
      <c r="C35" s="4" t="s">
        <v>94</v>
      </c>
      <c r="D35" s="10" t="s">
        <v>99</v>
      </c>
      <c r="E35" s="85">
        <v>263165.333333333</v>
      </c>
      <c r="F35" s="909">
        <v>217733.416666667</v>
      </c>
      <c r="G35" s="85">
        <v>120978.25</v>
      </c>
      <c r="H35" s="220">
        <f t="shared" si="0"/>
        <v>338711.666666667</v>
      </c>
      <c r="I35" s="220">
        <f t="shared" si="1"/>
        <v>75546.333333334</v>
      </c>
      <c r="J35" s="916">
        <v>20467.92</v>
      </c>
      <c r="K35" s="916">
        <f t="shared" si="6"/>
        <v>27096.9333333334</v>
      </c>
      <c r="L35" s="916">
        <f t="shared" si="2"/>
        <v>6629.01333333336</v>
      </c>
      <c r="M35" s="916"/>
      <c r="N35" s="916"/>
      <c r="O35" s="916">
        <f t="shared" si="3"/>
        <v>0</v>
      </c>
      <c r="P35" s="916">
        <f t="shared" si="4"/>
        <v>325163.2</v>
      </c>
      <c r="Q35" s="916">
        <f t="shared" si="5"/>
        <v>0</v>
      </c>
    </row>
    <row r="36" ht="18.75" customHeight="1" spans="1:17">
      <c r="A36" s="10">
        <v>29</v>
      </c>
      <c r="B36" s="18" t="s">
        <v>95</v>
      </c>
      <c r="C36" s="4" t="s">
        <v>551</v>
      </c>
      <c r="D36" s="10" t="s">
        <v>99</v>
      </c>
      <c r="E36" s="85">
        <v>263165.333333333</v>
      </c>
      <c r="F36" s="909">
        <v>217733.416666667</v>
      </c>
      <c r="G36" s="85">
        <v>120978.25</v>
      </c>
      <c r="H36" s="220">
        <f t="shared" si="0"/>
        <v>338711.666666667</v>
      </c>
      <c r="I36" s="220">
        <f t="shared" si="1"/>
        <v>75546.333333334</v>
      </c>
      <c r="J36" s="916">
        <v>20467.92</v>
      </c>
      <c r="K36" s="916">
        <f t="shared" si="6"/>
        <v>27096.9333333334</v>
      </c>
      <c r="L36" s="916">
        <f t="shared" si="2"/>
        <v>6629.01333333336</v>
      </c>
      <c r="M36" s="916"/>
      <c r="N36" s="916"/>
      <c r="O36" s="916">
        <f t="shared" si="3"/>
        <v>0</v>
      </c>
      <c r="P36" s="916">
        <f t="shared" si="4"/>
        <v>325163.2</v>
      </c>
      <c r="Q36" s="916">
        <f t="shared" si="5"/>
        <v>0</v>
      </c>
    </row>
    <row r="37" ht="18.75" customHeight="1" spans="1:17">
      <c r="A37" s="10">
        <v>30</v>
      </c>
      <c r="B37" s="18" t="s">
        <v>103</v>
      </c>
      <c r="C37" s="12" t="s">
        <v>104</v>
      </c>
      <c r="D37" s="15" t="s">
        <v>108</v>
      </c>
      <c r="E37" s="85">
        <v>230631.916666667</v>
      </c>
      <c r="F37" s="909">
        <v>196364.416666667</v>
      </c>
      <c r="G37" s="85">
        <v>105546.333333333</v>
      </c>
      <c r="H37" s="220">
        <f t="shared" si="0"/>
        <v>301910.75</v>
      </c>
      <c r="I37" s="220">
        <f t="shared" si="1"/>
        <v>71278.833333333</v>
      </c>
      <c r="J37" s="916">
        <v>17956.78</v>
      </c>
      <c r="K37" s="916">
        <f t="shared" si="6"/>
        <v>24152.86</v>
      </c>
      <c r="L37" s="916">
        <f t="shared" si="2"/>
        <v>6196.08</v>
      </c>
      <c r="M37" s="916"/>
      <c r="N37" s="916"/>
      <c r="O37" s="916">
        <f t="shared" si="3"/>
        <v>0</v>
      </c>
      <c r="P37" s="916">
        <f t="shared" si="4"/>
        <v>289834.32</v>
      </c>
      <c r="Q37" s="916">
        <f t="shared" si="5"/>
        <v>0</v>
      </c>
    </row>
    <row r="38" ht="18.75" customHeight="1" spans="1:17">
      <c r="A38" s="10">
        <v>31</v>
      </c>
      <c r="B38" s="18" t="s">
        <v>106</v>
      </c>
      <c r="C38" s="12" t="s">
        <v>107</v>
      </c>
      <c r="D38" s="15" t="s">
        <v>111</v>
      </c>
      <c r="E38" s="676">
        <v>224459.75</v>
      </c>
      <c r="F38" s="909">
        <v>192179.416666667</v>
      </c>
      <c r="G38" s="85">
        <v>102721.416666667</v>
      </c>
      <c r="H38" s="220">
        <f t="shared" si="0"/>
        <v>294900.833333334</v>
      </c>
      <c r="I38" s="220">
        <f t="shared" si="1"/>
        <v>70441.083333334</v>
      </c>
      <c r="J38" s="916">
        <v>17463.0066666666</v>
      </c>
      <c r="K38" s="916">
        <f t="shared" si="6"/>
        <v>23592.0666666667</v>
      </c>
      <c r="L38" s="916">
        <f t="shared" si="2"/>
        <v>6129.06000000012</v>
      </c>
      <c r="M38" s="916"/>
      <c r="N38" s="916"/>
      <c r="O38" s="916">
        <f t="shared" si="3"/>
        <v>0</v>
      </c>
      <c r="P38" s="916">
        <f t="shared" si="4"/>
        <v>283104.800000001</v>
      </c>
      <c r="Q38" s="916">
        <f t="shared" si="5"/>
        <v>0</v>
      </c>
    </row>
    <row r="39" ht="26.25" customHeight="1" spans="1:17">
      <c r="A39" s="10"/>
      <c r="B39" s="20" t="s">
        <v>120</v>
      </c>
      <c r="C39" s="21">
        <v>31</v>
      </c>
      <c r="D39" s="15"/>
      <c r="E39" s="221">
        <f t="shared" ref="E39:Q39" si="9">SUM(E8:E38)</f>
        <v>14073003.667</v>
      </c>
      <c r="F39" s="910">
        <f t="shared" si="9"/>
        <v>10664632</v>
      </c>
      <c r="G39" s="221">
        <f t="shared" si="9"/>
        <v>6603270.91666667</v>
      </c>
      <c r="H39" s="221">
        <f t="shared" si="9"/>
        <v>17267902.9166667</v>
      </c>
      <c r="I39" s="221">
        <f t="shared" si="9"/>
        <v>3194899.24966666</v>
      </c>
      <c r="J39" s="221">
        <f t="shared" si="9"/>
        <v>914813.32</v>
      </c>
      <c r="K39" s="221">
        <f t="shared" si="9"/>
        <v>1151316.72666667</v>
      </c>
      <c r="L39" s="221">
        <f t="shared" si="9"/>
        <v>236503.406666667</v>
      </c>
      <c r="M39" s="221">
        <f t="shared" si="9"/>
        <v>48931.9729166667</v>
      </c>
      <c r="N39" s="221">
        <f t="shared" si="9"/>
        <v>67587.0041666667</v>
      </c>
      <c r="O39" s="221">
        <f t="shared" si="9"/>
        <v>18655.0312499999</v>
      </c>
      <c r="P39" s="221">
        <f t="shared" si="9"/>
        <v>13815800.72</v>
      </c>
      <c r="Q39" s="221">
        <f t="shared" si="9"/>
        <v>811044.05</v>
      </c>
    </row>
    <row r="40" ht="18.75" customHeight="1" spans="1:17">
      <c r="A40" s="10"/>
      <c r="B40" s="22"/>
      <c r="C40" s="4"/>
      <c r="D40" s="15"/>
      <c r="E40" s="221"/>
      <c r="F40" s="910"/>
      <c r="G40" s="221"/>
      <c r="H40" s="220"/>
      <c r="I40" s="220"/>
      <c r="J40" s="916"/>
      <c r="K40" s="916"/>
      <c r="L40" s="916"/>
      <c r="M40" s="916"/>
      <c r="N40" s="916"/>
      <c r="O40" s="916"/>
      <c r="P40" s="916"/>
      <c r="Q40" s="916"/>
    </row>
    <row r="41" ht="18.75" customHeight="1" spans="1:17">
      <c r="A41" s="10"/>
      <c r="B41" s="20" t="s">
        <v>121</v>
      </c>
      <c r="C41" s="4"/>
      <c r="D41" s="15"/>
      <c r="E41" s="85"/>
      <c r="F41" s="909"/>
      <c r="G41" s="85"/>
      <c r="H41" s="220"/>
      <c r="I41" s="220"/>
      <c r="J41" s="916"/>
      <c r="K41" s="916"/>
      <c r="L41" s="916"/>
      <c r="M41" s="916"/>
      <c r="N41" s="916"/>
      <c r="O41" s="916"/>
      <c r="P41" s="916"/>
      <c r="Q41" s="916"/>
    </row>
    <row r="42" ht="18.75" customHeight="1" spans="1:17">
      <c r="A42" s="10">
        <v>1</v>
      </c>
      <c r="B42" s="18" t="s">
        <v>122</v>
      </c>
      <c r="C42" s="4" t="s">
        <v>123</v>
      </c>
      <c r="D42" s="10" t="s">
        <v>124</v>
      </c>
      <c r="E42" s="85">
        <v>1435720</v>
      </c>
      <c r="F42" s="909">
        <v>1086777.08333333</v>
      </c>
      <c r="G42" s="220">
        <v>660329.333333333</v>
      </c>
      <c r="H42" s="911">
        <f t="shared" ref="H42:H45" si="10">F42+G42</f>
        <v>1747106.41666666</v>
      </c>
      <c r="I42" s="220">
        <f t="shared" ref="I42:I45" si="11">H42-E42</f>
        <v>311386.416666663</v>
      </c>
      <c r="J42" s="916">
        <v>114857.6</v>
      </c>
      <c r="K42" s="916">
        <f t="shared" ref="K42:K45" si="12">H42*0.08</f>
        <v>139768.513333333</v>
      </c>
      <c r="L42" s="916">
        <f t="shared" ref="L42:L45" si="13">K42-J42</f>
        <v>24910.913333333</v>
      </c>
      <c r="M42" s="916"/>
      <c r="N42" s="916"/>
      <c r="O42" s="916">
        <f t="shared" ref="O42:O45" si="14">N42-M42</f>
        <v>0</v>
      </c>
      <c r="P42" s="916">
        <f t="shared" ref="P42:P45" si="15">K42*12</f>
        <v>1677222.16</v>
      </c>
      <c r="Q42" s="916"/>
    </row>
    <row r="43" ht="18.75" customHeight="1" spans="1:17">
      <c r="A43" s="10">
        <v>2</v>
      </c>
      <c r="B43" s="18" t="s">
        <v>127</v>
      </c>
      <c r="C43" s="4" t="s">
        <v>128</v>
      </c>
      <c r="D43" s="10" t="s">
        <v>74</v>
      </c>
      <c r="E43" s="85">
        <v>300965.583333333</v>
      </c>
      <c r="F43" s="909">
        <v>240874.583333333</v>
      </c>
      <c r="G43" s="220">
        <v>140266.083333333</v>
      </c>
      <c r="H43" s="911">
        <f t="shared" si="10"/>
        <v>381140.666666666</v>
      </c>
      <c r="I43" s="220">
        <f t="shared" si="11"/>
        <v>80175.083333333</v>
      </c>
      <c r="J43" s="916">
        <v>23442.3733333333</v>
      </c>
      <c r="K43" s="916">
        <f t="shared" si="12"/>
        <v>30491.2533333333</v>
      </c>
      <c r="L43" s="916">
        <f t="shared" si="13"/>
        <v>7048.87999999998</v>
      </c>
      <c r="M43" s="916"/>
      <c r="N43" s="916"/>
      <c r="O43" s="916">
        <f t="shared" si="14"/>
        <v>0</v>
      </c>
      <c r="P43" s="916">
        <f t="shared" si="15"/>
        <v>365895.039999999</v>
      </c>
      <c r="Q43" s="916"/>
    </row>
    <row r="44" ht="18.75" customHeight="1" spans="1:17">
      <c r="A44" s="10">
        <v>3</v>
      </c>
      <c r="B44" s="11" t="s">
        <v>129</v>
      </c>
      <c r="C44" s="4" t="s">
        <v>128</v>
      </c>
      <c r="D44" s="15" t="s">
        <v>77</v>
      </c>
      <c r="E44" s="85">
        <v>308901.5</v>
      </c>
      <c r="F44" s="909">
        <v>246171.166666667</v>
      </c>
      <c r="G44" s="220">
        <v>143964.666666667</v>
      </c>
      <c r="H44" s="911">
        <f t="shared" si="10"/>
        <v>390135.833333334</v>
      </c>
      <c r="I44" s="220">
        <f t="shared" si="11"/>
        <v>81234.333333334</v>
      </c>
      <c r="J44" s="916">
        <v>24077.2466666667</v>
      </c>
      <c r="K44" s="916">
        <f t="shared" si="12"/>
        <v>31210.8666666667</v>
      </c>
      <c r="L44" s="916">
        <f t="shared" si="13"/>
        <v>7133.62000000002</v>
      </c>
      <c r="M44" s="916"/>
      <c r="N44" s="916"/>
      <c r="O44" s="916">
        <f t="shared" si="14"/>
        <v>0</v>
      </c>
      <c r="P44" s="916">
        <f t="shared" si="15"/>
        <v>374530.400000001</v>
      </c>
      <c r="Q44" s="916"/>
    </row>
    <row r="45" ht="18.75" customHeight="1" spans="1:17">
      <c r="A45" s="10">
        <v>4</v>
      </c>
      <c r="B45" s="11" t="s">
        <v>133</v>
      </c>
      <c r="C45" s="4" t="s">
        <v>134</v>
      </c>
      <c r="D45" s="15" t="s">
        <v>99</v>
      </c>
      <c r="E45" s="676">
        <v>263165.333333333</v>
      </c>
      <c r="F45" s="909">
        <v>217733.416666667</v>
      </c>
      <c r="G45" s="220">
        <v>120978.25</v>
      </c>
      <c r="H45" s="911">
        <f t="shared" si="10"/>
        <v>338711.666666667</v>
      </c>
      <c r="I45" s="220">
        <f t="shared" si="11"/>
        <v>75546.333333334</v>
      </c>
      <c r="J45" s="916">
        <v>20467.92</v>
      </c>
      <c r="K45" s="916">
        <f t="shared" si="12"/>
        <v>27096.9333333334</v>
      </c>
      <c r="L45" s="916">
        <f t="shared" si="13"/>
        <v>6629.01333333336</v>
      </c>
      <c r="M45" s="916"/>
      <c r="N45" s="916"/>
      <c r="O45" s="916">
        <f t="shared" si="14"/>
        <v>0</v>
      </c>
      <c r="P45" s="916">
        <f t="shared" si="15"/>
        <v>325163.2</v>
      </c>
      <c r="Q45" s="916"/>
    </row>
    <row r="46" ht="19.5" customHeight="1" spans="1:17">
      <c r="A46" s="10"/>
      <c r="B46" s="14"/>
      <c r="C46" s="21">
        <v>4</v>
      </c>
      <c r="D46" s="10"/>
      <c r="E46" s="221">
        <f t="shared" ref="E46:Q46" si="16">SUM(E42:E45)</f>
        <v>2308752.41666667</v>
      </c>
      <c r="F46" s="910">
        <f t="shared" si="16"/>
        <v>1791556.25</v>
      </c>
      <c r="G46" s="221">
        <f t="shared" si="16"/>
        <v>1065538.33333333</v>
      </c>
      <c r="H46" s="221">
        <f t="shared" si="16"/>
        <v>2857094.58333333</v>
      </c>
      <c r="I46" s="221">
        <f t="shared" si="16"/>
        <v>548342.166666664</v>
      </c>
      <c r="J46" s="221">
        <f t="shared" si="16"/>
        <v>182845.14</v>
      </c>
      <c r="K46" s="221">
        <f t="shared" si="16"/>
        <v>228567.566666666</v>
      </c>
      <c r="L46" s="221">
        <f t="shared" si="16"/>
        <v>45722.4266666664</v>
      </c>
      <c r="M46" s="221">
        <f t="shared" si="16"/>
        <v>0</v>
      </c>
      <c r="N46" s="221">
        <f t="shared" si="16"/>
        <v>0</v>
      </c>
      <c r="O46" s="221">
        <f t="shared" si="16"/>
        <v>0</v>
      </c>
      <c r="P46" s="221">
        <f t="shared" si="16"/>
        <v>2742810.8</v>
      </c>
      <c r="Q46" s="221">
        <f t="shared" si="16"/>
        <v>0</v>
      </c>
    </row>
    <row r="47" customHeight="1" spans="1:17">
      <c r="A47" s="10"/>
      <c r="B47" s="14"/>
      <c r="C47" s="4"/>
      <c r="D47" s="10"/>
      <c r="E47" s="221"/>
      <c r="F47" s="910"/>
      <c r="G47" s="221"/>
      <c r="H47" s="220"/>
      <c r="I47" s="220"/>
      <c r="J47" s="916"/>
      <c r="K47" s="916"/>
      <c r="L47" s="916"/>
      <c r="M47" s="916"/>
      <c r="N47" s="916"/>
      <c r="O47" s="916"/>
      <c r="P47" s="916"/>
      <c r="Q47" s="916"/>
    </row>
    <row r="48" customHeight="1" spans="1:17">
      <c r="A48" s="10"/>
      <c r="B48" s="23" t="s">
        <v>137</v>
      </c>
      <c r="C48" s="5"/>
      <c r="D48" s="24"/>
      <c r="E48" s="221"/>
      <c r="F48" s="910"/>
      <c r="G48" s="221"/>
      <c r="H48" s="220"/>
      <c r="I48" s="220"/>
      <c r="J48" s="916"/>
      <c r="K48" s="916"/>
      <c r="L48" s="916"/>
      <c r="M48" s="916"/>
      <c r="N48" s="916"/>
      <c r="O48" s="916"/>
      <c r="P48" s="916"/>
      <c r="Q48" s="916"/>
    </row>
    <row r="49" customHeight="1" spans="1:17">
      <c r="A49" s="10">
        <v>1</v>
      </c>
      <c r="B49" s="11" t="s">
        <v>138</v>
      </c>
      <c r="C49" s="4" t="s">
        <v>552</v>
      </c>
      <c r="D49" s="10" t="s">
        <v>35</v>
      </c>
      <c r="E49" s="85">
        <v>762373.166666667</v>
      </c>
      <c r="F49" s="909">
        <v>554669.5</v>
      </c>
      <c r="G49" s="220">
        <v>350637.25</v>
      </c>
      <c r="H49" s="911">
        <f t="shared" ref="H49:H56" si="17">F49+G49</f>
        <v>905306.75</v>
      </c>
      <c r="I49" s="220">
        <f t="shared" ref="I49:I56" si="18">H49-E49</f>
        <v>142933.583333333</v>
      </c>
      <c r="J49" s="916">
        <v>59136.2866666667</v>
      </c>
      <c r="K49" s="916">
        <f t="shared" ref="K49:K56" si="19">H49*0.08</f>
        <v>72424.54</v>
      </c>
      <c r="L49" s="916">
        <f t="shared" ref="L49:L56" si="20">K49-J49</f>
        <v>13288.2533333333</v>
      </c>
      <c r="M49" s="916"/>
      <c r="N49" s="916"/>
      <c r="O49" s="916">
        <f t="shared" ref="O49:O56" si="21">N49-M49</f>
        <v>0</v>
      </c>
      <c r="P49" s="916">
        <f t="shared" ref="P49:P56" si="22">K49*12</f>
        <v>869094.48</v>
      </c>
      <c r="Q49" s="916"/>
    </row>
    <row r="50" customHeight="1" spans="1:17">
      <c r="A50" s="10">
        <v>2</v>
      </c>
      <c r="B50" s="11" t="s">
        <v>141</v>
      </c>
      <c r="C50" s="4" t="s">
        <v>142</v>
      </c>
      <c r="D50" s="10" t="s">
        <v>38</v>
      </c>
      <c r="E50" s="85">
        <v>620675.583333333</v>
      </c>
      <c r="F50" s="909">
        <v>459010.5</v>
      </c>
      <c r="G50" s="220">
        <v>285466.5</v>
      </c>
      <c r="H50" s="911">
        <f t="shared" si="17"/>
        <v>744477</v>
      </c>
      <c r="I50" s="220">
        <f t="shared" si="18"/>
        <v>123801.416666667</v>
      </c>
      <c r="J50" s="916">
        <v>49654.0466666667</v>
      </c>
      <c r="K50" s="916">
        <f t="shared" si="19"/>
        <v>59558.16</v>
      </c>
      <c r="L50" s="916">
        <f t="shared" si="20"/>
        <v>9904.11333333331</v>
      </c>
      <c r="M50" s="916"/>
      <c r="N50" s="916"/>
      <c r="O50" s="916">
        <f t="shared" si="21"/>
        <v>0</v>
      </c>
      <c r="P50" s="916">
        <f t="shared" si="22"/>
        <v>714697.92</v>
      </c>
      <c r="Q50" s="916"/>
    </row>
    <row r="51" customHeight="1" spans="1:17">
      <c r="A51" s="10">
        <v>3</v>
      </c>
      <c r="B51" s="11" t="s">
        <v>143</v>
      </c>
      <c r="C51" s="4" t="s">
        <v>142</v>
      </c>
      <c r="D51" s="10" t="s">
        <v>38</v>
      </c>
      <c r="E51" s="85">
        <v>620675.583333333</v>
      </c>
      <c r="F51" s="909">
        <v>459010.5</v>
      </c>
      <c r="G51" s="220">
        <v>285466.5</v>
      </c>
      <c r="H51" s="911">
        <f t="shared" si="17"/>
        <v>744477</v>
      </c>
      <c r="I51" s="220">
        <f t="shared" si="18"/>
        <v>123801.416666667</v>
      </c>
      <c r="J51" s="916">
        <v>49654.0466666667</v>
      </c>
      <c r="K51" s="916">
        <f t="shared" si="19"/>
        <v>59558.16</v>
      </c>
      <c r="L51" s="916">
        <f t="shared" si="20"/>
        <v>9904.11333333331</v>
      </c>
      <c r="M51" s="916">
        <v>8380.22708333333</v>
      </c>
      <c r="N51" s="916">
        <f>0.025*F51</f>
        <v>11475.2625</v>
      </c>
      <c r="O51" s="916">
        <f t="shared" si="21"/>
        <v>3095.03541666667</v>
      </c>
      <c r="P51" s="916">
        <f t="shared" si="22"/>
        <v>714697.92</v>
      </c>
      <c r="Q51" s="916">
        <f>N51*12</f>
        <v>137703.15</v>
      </c>
    </row>
    <row r="52" customHeight="1" spans="1:17">
      <c r="A52" s="10">
        <v>4</v>
      </c>
      <c r="B52" s="11" t="s">
        <v>144</v>
      </c>
      <c r="C52" s="4" t="s">
        <v>142</v>
      </c>
      <c r="D52" s="10" t="s">
        <v>49</v>
      </c>
      <c r="E52" s="85">
        <v>601396.833333333</v>
      </c>
      <c r="F52" s="909">
        <v>445995.833333333</v>
      </c>
      <c r="G52" s="220">
        <v>276599.666666667</v>
      </c>
      <c r="H52" s="911">
        <f t="shared" si="17"/>
        <v>722595.5</v>
      </c>
      <c r="I52" s="220">
        <f t="shared" si="18"/>
        <v>121198.666666667</v>
      </c>
      <c r="J52" s="916">
        <v>46569.4466666667</v>
      </c>
      <c r="K52" s="916">
        <f t="shared" si="19"/>
        <v>57807.64</v>
      </c>
      <c r="L52" s="916">
        <f t="shared" si="20"/>
        <v>11238.1933333333</v>
      </c>
      <c r="M52" s="916"/>
      <c r="N52" s="916"/>
      <c r="O52" s="916">
        <f t="shared" si="21"/>
        <v>0</v>
      </c>
      <c r="P52" s="916">
        <f t="shared" si="22"/>
        <v>693691.68</v>
      </c>
      <c r="Q52" s="916"/>
    </row>
    <row r="53" customHeight="1" spans="1:17">
      <c r="A53" s="10">
        <v>5</v>
      </c>
      <c r="B53" s="14" t="s">
        <v>145</v>
      </c>
      <c r="C53" s="4" t="s">
        <v>142</v>
      </c>
      <c r="D53" s="10" t="s">
        <v>41</v>
      </c>
      <c r="E53" s="85">
        <v>582118.083333333</v>
      </c>
      <c r="F53" s="909">
        <v>432981.083333333</v>
      </c>
      <c r="G53" s="220">
        <v>267732.833333333</v>
      </c>
      <c r="H53" s="911">
        <f t="shared" si="17"/>
        <v>700713.916666666</v>
      </c>
      <c r="I53" s="220">
        <f t="shared" si="18"/>
        <v>118595.833333333</v>
      </c>
      <c r="J53" s="916">
        <v>46569.45</v>
      </c>
      <c r="K53" s="916">
        <f t="shared" si="19"/>
        <v>56057.1133333333</v>
      </c>
      <c r="L53" s="916">
        <f t="shared" si="20"/>
        <v>9487.66333333329</v>
      </c>
      <c r="M53" s="916"/>
      <c r="N53" s="916"/>
      <c r="O53" s="916">
        <f t="shared" si="21"/>
        <v>0</v>
      </c>
      <c r="P53" s="916">
        <f t="shared" si="22"/>
        <v>672685.359999999</v>
      </c>
      <c r="Q53" s="916"/>
    </row>
    <row r="54" customHeight="1" spans="1:17">
      <c r="A54" s="10">
        <v>6</v>
      </c>
      <c r="B54" s="11" t="s">
        <v>149</v>
      </c>
      <c r="C54" s="4" t="s">
        <v>150</v>
      </c>
      <c r="D54" s="10" t="s">
        <v>77</v>
      </c>
      <c r="E54" s="85">
        <v>308901.5</v>
      </c>
      <c r="F54" s="909">
        <v>246171.166666667</v>
      </c>
      <c r="G54" s="220">
        <v>143964.666666667</v>
      </c>
      <c r="H54" s="911">
        <f t="shared" si="17"/>
        <v>390135.833333334</v>
      </c>
      <c r="I54" s="220">
        <f t="shared" si="18"/>
        <v>81234.333333334</v>
      </c>
      <c r="J54" s="916">
        <v>24077.2466666667</v>
      </c>
      <c r="K54" s="916">
        <f t="shared" si="19"/>
        <v>31210.8666666667</v>
      </c>
      <c r="L54" s="916">
        <f t="shared" si="20"/>
        <v>7133.62000000002</v>
      </c>
      <c r="M54" s="916"/>
      <c r="N54" s="916"/>
      <c r="O54" s="916">
        <f t="shared" si="21"/>
        <v>0</v>
      </c>
      <c r="P54" s="916">
        <f t="shared" si="22"/>
        <v>374530.400000001</v>
      </c>
      <c r="Q54" s="916"/>
    </row>
    <row r="55" customHeight="1" spans="1:17">
      <c r="A55" s="10">
        <v>7</v>
      </c>
      <c r="B55" s="11" t="s">
        <v>153</v>
      </c>
      <c r="C55" s="4" t="s">
        <v>150</v>
      </c>
      <c r="D55" s="10" t="s">
        <v>88</v>
      </c>
      <c r="E55" s="85">
        <v>270481.666666667</v>
      </c>
      <c r="F55" s="909">
        <v>222674.583333333</v>
      </c>
      <c r="G55" s="220">
        <v>124341.583333333</v>
      </c>
      <c r="H55" s="911">
        <f t="shared" si="17"/>
        <v>347016.166666666</v>
      </c>
      <c r="I55" s="220">
        <f t="shared" si="18"/>
        <v>76534.499999999</v>
      </c>
      <c r="J55" s="916">
        <v>21053.2266666667</v>
      </c>
      <c r="K55" s="916">
        <f t="shared" si="19"/>
        <v>27761.2933333333</v>
      </c>
      <c r="L55" s="916">
        <f t="shared" si="20"/>
        <v>6708.06666666658</v>
      </c>
      <c r="M55" s="916"/>
      <c r="N55" s="916"/>
      <c r="O55" s="916">
        <f t="shared" si="21"/>
        <v>0</v>
      </c>
      <c r="P55" s="916">
        <f t="shared" si="22"/>
        <v>333135.519999999</v>
      </c>
      <c r="Q55" s="916"/>
    </row>
    <row r="56" customHeight="1" spans="1:17">
      <c r="A56" s="10">
        <v>8</v>
      </c>
      <c r="B56" s="11" t="s">
        <v>154</v>
      </c>
      <c r="C56" s="4" t="s">
        <v>150</v>
      </c>
      <c r="D56" s="10" t="s">
        <v>88</v>
      </c>
      <c r="E56" s="85">
        <v>270481.666666667</v>
      </c>
      <c r="F56" s="909">
        <v>222674.583333333</v>
      </c>
      <c r="G56" s="220">
        <v>124341.583333333</v>
      </c>
      <c r="H56" s="911">
        <f t="shared" si="17"/>
        <v>347016.166666666</v>
      </c>
      <c r="I56" s="220">
        <f t="shared" si="18"/>
        <v>76534.499999999</v>
      </c>
      <c r="J56" s="916">
        <v>21053.2266666667</v>
      </c>
      <c r="K56" s="916">
        <f t="shared" si="19"/>
        <v>27761.2933333333</v>
      </c>
      <c r="L56" s="916">
        <f t="shared" si="20"/>
        <v>6708.06666666658</v>
      </c>
      <c r="M56" s="916"/>
      <c r="N56" s="916"/>
      <c r="O56" s="916">
        <f t="shared" si="21"/>
        <v>0</v>
      </c>
      <c r="P56" s="916">
        <f t="shared" si="22"/>
        <v>333135.519999999</v>
      </c>
      <c r="Q56" s="916"/>
    </row>
    <row r="57" ht="25.5" customHeight="1" spans="1:17">
      <c r="A57" s="10"/>
      <c r="B57" s="20" t="s">
        <v>120</v>
      </c>
      <c r="C57" s="21">
        <v>8</v>
      </c>
      <c r="D57" s="21"/>
      <c r="E57" s="93">
        <f t="shared" ref="E57:Q57" si="23">SUM(E49:E56)</f>
        <v>4037104.08333333</v>
      </c>
      <c r="F57" s="912">
        <f t="shared" si="23"/>
        <v>3043187.75</v>
      </c>
      <c r="G57" s="93">
        <f t="shared" si="23"/>
        <v>1858550.58333333</v>
      </c>
      <c r="H57" s="93">
        <f t="shared" si="23"/>
        <v>4901738.33333333</v>
      </c>
      <c r="I57" s="93">
        <f t="shared" si="23"/>
        <v>864634.249999999</v>
      </c>
      <c r="J57" s="93">
        <f t="shared" si="23"/>
        <v>317766.976666667</v>
      </c>
      <c r="K57" s="93">
        <f t="shared" si="23"/>
        <v>392139.066666667</v>
      </c>
      <c r="L57" s="93">
        <f t="shared" si="23"/>
        <v>74372.0899999997</v>
      </c>
      <c r="M57" s="93">
        <f t="shared" si="23"/>
        <v>8380.22708333333</v>
      </c>
      <c r="N57" s="93">
        <f t="shared" si="23"/>
        <v>11475.2625</v>
      </c>
      <c r="O57" s="93">
        <f t="shared" si="23"/>
        <v>3095.03541666667</v>
      </c>
      <c r="P57" s="93">
        <f t="shared" si="23"/>
        <v>4705668.8</v>
      </c>
      <c r="Q57" s="93">
        <f t="shared" si="23"/>
        <v>137703.15</v>
      </c>
    </row>
    <row r="58" customHeight="1" spans="1:17">
      <c r="A58" s="10"/>
      <c r="B58" s="22"/>
      <c r="C58" s="21"/>
      <c r="D58" s="21"/>
      <c r="E58" s="146"/>
      <c r="F58" s="913"/>
      <c r="G58" s="146"/>
      <c r="H58" s="220"/>
      <c r="I58" s="220"/>
      <c r="J58" s="916"/>
      <c r="K58" s="916"/>
      <c r="L58" s="916"/>
      <c r="M58" s="916"/>
      <c r="N58" s="916"/>
      <c r="O58" s="916"/>
      <c r="P58" s="916"/>
      <c r="Q58" s="916"/>
    </row>
    <row r="59" customHeight="1" spans="1:17">
      <c r="A59" s="10"/>
      <c r="B59" s="20" t="s">
        <v>156</v>
      </c>
      <c r="C59" s="21"/>
      <c r="D59" s="21"/>
      <c r="E59" s="146"/>
      <c r="F59" s="913"/>
      <c r="G59" s="146"/>
      <c r="H59" s="220"/>
      <c r="I59" s="220"/>
      <c r="J59" s="916"/>
      <c r="K59" s="916"/>
      <c r="L59" s="916"/>
      <c r="M59" s="916"/>
      <c r="N59" s="916"/>
      <c r="O59" s="916"/>
      <c r="P59" s="916"/>
      <c r="Q59" s="916"/>
    </row>
    <row r="60" customHeight="1" spans="1:17">
      <c r="A60" s="10">
        <v>1</v>
      </c>
      <c r="B60" s="11" t="s">
        <v>157</v>
      </c>
      <c r="C60" s="12" t="s">
        <v>158</v>
      </c>
      <c r="D60" s="15" t="s">
        <v>124</v>
      </c>
      <c r="E60" s="85">
        <v>1435720</v>
      </c>
      <c r="F60" s="909">
        <v>1086777.08333333</v>
      </c>
      <c r="G60" s="220">
        <v>660329.333333333</v>
      </c>
      <c r="H60" s="911">
        <f t="shared" ref="H60:H71" si="24">F60+G60</f>
        <v>1747106.41666666</v>
      </c>
      <c r="I60" s="220">
        <f t="shared" ref="I60:I71" si="25">H60-E60</f>
        <v>311386.416666663</v>
      </c>
      <c r="J60" s="916">
        <v>114857.6</v>
      </c>
      <c r="K60" s="916">
        <f t="shared" ref="K60:K71" si="26">H60*0.08</f>
        <v>139768.513333333</v>
      </c>
      <c r="L60" s="916">
        <f t="shared" ref="L60:L71" si="27">K60-J60</f>
        <v>24910.913333333</v>
      </c>
      <c r="M60" s="916"/>
      <c r="N60" s="916"/>
      <c r="O60" s="916">
        <f t="shared" ref="O60:O71" si="28">N60-M60</f>
        <v>0</v>
      </c>
      <c r="P60" s="916">
        <f t="shared" ref="P60:P71" si="29">K60*12</f>
        <v>1677222.16</v>
      </c>
      <c r="Q60" s="916"/>
    </row>
    <row r="61" customHeight="1" spans="1:17">
      <c r="A61" s="10">
        <v>2</v>
      </c>
      <c r="B61" s="11" t="s">
        <v>159</v>
      </c>
      <c r="C61" s="12" t="s">
        <v>160</v>
      </c>
      <c r="D61" s="15" t="s">
        <v>161</v>
      </c>
      <c r="E61" s="85">
        <v>620675.583333333</v>
      </c>
      <c r="F61" s="909">
        <v>459010.5</v>
      </c>
      <c r="G61" s="220">
        <v>285466.5</v>
      </c>
      <c r="H61" s="911">
        <f t="shared" si="24"/>
        <v>744477</v>
      </c>
      <c r="I61" s="220">
        <f t="shared" si="25"/>
        <v>123801.416666667</v>
      </c>
      <c r="J61" s="916">
        <v>49654.0466666667</v>
      </c>
      <c r="K61" s="916">
        <f t="shared" si="26"/>
        <v>59558.16</v>
      </c>
      <c r="L61" s="916">
        <f t="shared" si="27"/>
        <v>9904.11333333331</v>
      </c>
      <c r="M61" s="916"/>
      <c r="N61" s="916"/>
      <c r="O61" s="916">
        <f t="shared" si="28"/>
        <v>0</v>
      </c>
      <c r="P61" s="916">
        <f t="shared" si="29"/>
        <v>714697.92</v>
      </c>
      <c r="Q61" s="916"/>
    </row>
    <row r="62" customHeight="1" spans="1:17">
      <c r="A62" s="10"/>
      <c r="B62" s="20" t="s">
        <v>120</v>
      </c>
      <c r="C62" s="21">
        <v>2</v>
      </c>
      <c r="D62" s="21"/>
      <c r="E62" s="93">
        <f t="shared" ref="E62:Q62" si="30">SUM(E60:E61)</f>
        <v>2056395.58333333</v>
      </c>
      <c r="F62" s="912">
        <f t="shared" si="30"/>
        <v>1545787.58333333</v>
      </c>
      <c r="G62" s="93">
        <f t="shared" si="30"/>
        <v>945795.833333333</v>
      </c>
      <c r="H62" s="93">
        <f t="shared" si="30"/>
        <v>2491583.41666666</v>
      </c>
      <c r="I62" s="93">
        <f t="shared" si="30"/>
        <v>435187.83333333</v>
      </c>
      <c r="J62" s="93">
        <f t="shared" si="30"/>
        <v>164511.646666667</v>
      </c>
      <c r="K62" s="93">
        <f t="shared" si="30"/>
        <v>199326.673333333</v>
      </c>
      <c r="L62" s="93">
        <f t="shared" si="30"/>
        <v>34815.0266666663</v>
      </c>
      <c r="M62" s="93">
        <f t="shared" si="30"/>
        <v>0</v>
      </c>
      <c r="N62" s="93">
        <f t="shared" si="30"/>
        <v>0</v>
      </c>
      <c r="O62" s="93">
        <f t="shared" si="30"/>
        <v>0</v>
      </c>
      <c r="P62" s="93">
        <f t="shared" si="30"/>
        <v>2391920.08</v>
      </c>
      <c r="Q62" s="93">
        <f t="shared" si="30"/>
        <v>0</v>
      </c>
    </row>
    <row r="63" customHeight="1" spans="1:17">
      <c r="A63" s="10"/>
      <c r="B63" s="20"/>
      <c r="C63" s="21"/>
      <c r="D63" s="21"/>
      <c r="E63" s="146"/>
      <c r="F63" s="913"/>
      <c r="G63" s="146"/>
      <c r="H63" s="220"/>
      <c r="I63" s="220"/>
      <c r="J63" s="916"/>
      <c r="K63" s="916"/>
      <c r="L63" s="916"/>
      <c r="M63" s="916"/>
      <c r="N63" s="916"/>
      <c r="O63" s="916"/>
      <c r="P63" s="916"/>
      <c r="Q63" s="916"/>
    </row>
    <row r="64" customHeight="1" spans="1:17">
      <c r="A64" s="10"/>
      <c r="B64" s="20" t="s">
        <v>162</v>
      </c>
      <c r="C64" s="21"/>
      <c r="D64" s="21"/>
      <c r="E64" s="146"/>
      <c r="F64" s="913"/>
      <c r="G64" s="146"/>
      <c r="H64" s="220"/>
      <c r="I64" s="220"/>
      <c r="J64" s="916"/>
      <c r="K64" s="916"/>
      <c r="L64" s="916"/>
      <c r="M64" s="916"/>
      <c r="N64" s="916"/>
      <c r="O64" s="916"/>
      <c r="P64" s="916"/>
      <c r="Q64" s="916"/>
    </row>
    <row r="65" customHeight="1" spans="1:17">
      <c r="A65" s="10">
        <v>1</v>
      </c>
      <c r="B65" s="14" t="s">
        <v>163</v>
      </c>
      <c r="C65" s="4" t="s">
        <v>164</v>
      </c>
      <c r="D65" s="10" t="s">
        <v>35</v>
      </c>
      <c r="E65" s="85">
        <v>762373.166666667</v>
      </c>
      <c r="F65" s="909">
        <v>554669.5</v>
      </c>
      <c r="G65" s="85">
        <v>350637.25</v>
      </c>
      <c r="H65" s="220">
        <f t="shared" si="24"/>
        <v>905306.75</v>
      </c>
      <c r="I65" s="220">
        <f t="shared" si="25"/>
        <v>142933.583333333</v>
      </c>
      <c r="J65" s="916">
        <v>60989.8533333333</v>
      </c>
      <c r="K65" s="916">
        <f t="shared" si="26"/>
        <v>72424.54</v>
      </c>
      <c r="L65" s="916">
        <f t="shared" si="27"/>
        <v>11434.6866666667</v>
      </c>
      <c r="M65" s="916">
        <v>10293.3979166667</v>
      </c>
      <c r="N65" s="916">
        <f>0.025*F65</f>
        <v>13866.7375</v>
      </c>
      <c r="O65" s="916">
        <f t="shared" si="28"/>
        <v>3573.3395833333</v>
      </c>
      <c r="P65" s="916">
        <f t="shared" si="29"/>
        <v>869094.48</v>
      </c>
      <c r="Q65" s="916">
        <f>N65*12</f>
        <v>166400.85</v>
      </c>
    </row>
    <row r="66" customHeight="1" spans="1:17">
      <c r="A66" s="10">
        <v>2</v>
      </c>
      <c r="B66" s="11" t="s">
        <v>165</v>
      </c>
      <c r="C66" s="4" t="s">
        <v>51</v>
      </c>
      <c r="D66" s="10" t="s">
        <v>212</v>
      </c>
      <c r="E66" s="85">
        <v>456622.25</v>
      </c>
      <c r="F66" s="909">
        <v>347715.916666667</v>
      </c>
      <c r="G66" s="220">
        <v>210449.333333333</v>
      </c>
      <c r="H66" s="220">
        <f t="shared" si="24"/>
        <v>558165.25</v>
      </c>
      <c r="I66" s="220">
        <f t="shared" si="25"/>
        <v>101543</v>
      </c>
      <c r="J66" s="916">
        <v>35419.72</v>
      </c>
      <c r="K66" s="916">
        <f t="shared" si="26"/>
        <v>44653.22</v>
      </c>
      <c r="L66" s="916">
        <f t="shared" si="27"/>
        <v>9233.5</v>
      </c>
      <c r="M66" s="916"/>
      <c r="N66" s="916"/>
      <c r="O66" s="916">
        <f t="shared" si="28"/>
        <v>0</v>
      </c>
      <c r="P66" s="916">
        <f t="shared" si="29"/>
        <v>535838.64</v>
      </c>
      <c r="Q66" s="916"/>
    </row>
    <row r="67" customHeight="1" spans="1:17">
      <c r="A67" s="10">
        <v>3</v>
      </c>
      <c r="B67" s="11" t="s">
        <v>169</v>
      </c>
      <c r="C67" s="4" t="s">
        <v>150</v>
      </c>
      <c r="D67" s="10" t="s">
        <v>69</v>
      </c>
      <c r="E67" s="85">
        <v>377895.166666667</v>
      </c>
      <c r="F67" s="909">
        <v>294662.916666667</v>
      </c>
      <c r="G67" s="220">
        <v>174165.25</v>
      </c>
      <c r="H67" s="220">
        <f t="shared" si="24"/>
        <v>468828.166666667</v>
      </c>
      <c r="I67" s="220">
        <f t="shared" si="25"/>
        <v>90933</v>
      </c>
      <c r="J67" s="916">
        <v>29256.3066666667</v>
      </c>
      <c r="K67" s="916">
        <f t="shared" si="26"/>
        <v>37506.2533333334</v>
      </c>
      <c r="L67" s="916">
        <f t="shared" si="27"/>
        <v>8249.94666666666</v>
      </c>
      <c r="M67" s="916"/>
      <c r="N67" s="916"/>
      <c r="O67" s="916">
        <f t="shared" si="28"/>
        <v>0</v>
      </c>
      <c r="P67" s="916">
        <f t="shared" si="29"/>
        <v>450075.04</v>
      </c>
      <c r="Q67" s="916"/>
    </row>
    <row r="68" customHeight="1" spans="1:17">
      <c r="A68" s="10">
        <v>4</v>
      </c>
      <c r="B68" s="11" t="s">
        <v>171</v>
      </c>
      <c r="C68" s="17" t="s">
        <v>71</v>
      </c>
      <c r="D68" s="10" t="s">
        <v>69</v>
      </c>
      <c r="E68" s="85">
        <v>377895.166666667</v>
      </c>
      <c r="F68" s="909">
        <v>294662.916666667</v>
      </c>
      <c r="G68" s="220">
        <v>174165.25</v>
      </c>
      <c r="H68" s="220">
        <f t="shared" si="24"/>
        <v>468828.166666667</v>
      </c>
      <c r="I68" s="220">
        <f t="shared" si="25"/>
        <v>90933</v>
      </c>
      <c r="J68" s="916">
        <v>29256.3066666667</v>
      </c>
      <c r="K68" s="916">
        <f t="shared" si="26"/>
        <v>37506.2533333334</v>
      </c>
      <c r="L68" s="916">
        <f t="shared" si="27"/>
        <v>8249.94666666666</v>
      </c>
      <c r="M68" s="916"/>
      <c r="N68" s="916"/>
      <c r="O68" s="916">
        <f t="shared" si="28"/>
        <v>0</v>
      </c>
      <c r="P68" s="916">
        <f t="shared" si="29"/>
        <v>450075.04</v>
      </c>
      <c r="Q68" s="916"/>
    </row>
    <row r="69" customHeight="1" spans="1:17">
      <c r="A69" s="10">
        <v>5</v>
      </c>
      <c r="B69" s="11" t="s">
        <v>172</v>
      </c>
      <c r="C69" s="17" t="s">
        <v>71</v>
      </c>
      <c r="D69" s="10" t="s">
        <v>69</v>
      </c>
      <c r="E69" s="85">
        <v>377895.166666667</v>
      </c>
      <c r="F69" s="909">
        <v>294662.916666667</v>
      </c>
      <c r="G69" s="220">
        <v>174165.25</v>
      </c>
      <c r="H69" s="220">
        <f t="shared" si="24"/>
        <v>468828.166666667</v>
      </c>
      <c r="I69" s="220">
        <f t="shared" si="25"/>
        <v>90933</v>
      </c>
      <c r="J69" s="916">
        <v>29256.3066666667</v>
      </c>
      <c r="K69" s="916">
        <f t="shared" si="26"/>
        <v>37506.2533333334</v>
      </c>
      <c r="L69" s="916">
        <f t="shared" si="27"/>
        <v>8249.94666666666</v>
      </c>
      <c r="M69" s="916"/>
      <c r="N69" s="916"/>
      <c r="O69" s="916">
        <f t="shared" si="28"/>
        <v>0</v>
      </c>
      <c r="P69" s="916">
        <f t="shared" si="29"/>
        <v>450075.04</v>
      </c>
      <c r="Q69" s="916"/>
    </row>
    <row r="70" customHeight="1" spans="1:17">
      <c r="A70" s="10">
        <v>6</v>
      </c>
      <c r="B70" s="11" t="s">
        <v>173</v>
      </c>
      <c r="C70" s="4" t="s">
        <v>553</v>
      </c>
      <c r="D70" s="10" t="s">
        <v>170</v>
      </c>
      <c r="E70" s="457">
        <v>390086.5</v>
      </c>
      <c r="F70" s="909">
        <v>302878.666666667</v>
      </c>
      <c r="G70" s="220">
        <v>179784</v>
      </c>
      <c r="H70" s="220">
        <f t="shared" si="24"/>
        <v>482662.666666667</v>
      </c>
      <c r="I70" s="220">
        <f t="shared" si="25"/>
        <v>92576.166666667</v>
      </c>
      <c r="J70" s="916">
        <v>30231.6133333333</v>
      </c>
      <c r="K70" s="916">
        <f t="shared" si="26"/>
        <v>38613.0133333334</v>
      </c>
      <c r="L70" s="916">
        <f t="shared" si="27"/>
        <v>8381.40000000006</v>
      </c>
      <c r="M70" s="916"/>
      <c r="N70" s="916"/>
      <c r="O70" s="916">
        <f t="shared" si="28"/>
        <v>0</v>
      </c>
      <c r="P70" s="916">
        <f t="shared" si="29"/>
        <v>463356.16</v>
      </c>
      <c r="Q70" s="916"/>
    </row>
    <row r="71" ht="21.6" customHeight="1" spans="1:17">
      <c r="A71" s="10">
        <v>7</v>
      </c>
      <c r="B71" s="11" t="s">
        <v>177</v>
      </c>
      <c r="C71" s="4" t="s">
        <v>150</v>
      </c>
      <c r="D71" s="10" t="s">
        <v>77</v>
      </c>
      <c r="E71" s="220">
        <v>308901.5</v>
      </c>
      <c r="F71" s="909">
        <v>246171.166666667</v>
      </c>
      <c r="G71" s="220">
        <v>143964.666666667</v>
      </c>
      <c r="H71" s="220">
        <f t="shared" si="24"/>
        <v>390135.833333334</v>
      </c>
      <c r="I71" s="220">
        <f t="shared" si="25"/>
        <v>81234.333333334</v>
      </c>
      <c r="J71" s="916">
        <v>24077.2466666667</v>
      </c>
      <c r="K71" s="916">
        <f t="shared" si="26"/>
        <v>31210.8666666667</v>
      </c>
      <c r="L71" s="916">
        <f t="shared" si="27"/>
        <v>7133.62000000002</v>
      </c>
      <c r="M71" s="916"/>
      <c r="N71" s="916"/>
      <c r="O71" s="916">
        <f t="shared" si="28"/>
        <v>0</v>
      </c>
      <c r="P71" s="916">
        <f t="shared" si="29"/>
        <v>374530.400000001</v>
      </c>
      <c r="Q71" s="916"/>
    </row>
    <row r="72" ht="27" customHeight="1" spans="1:17">
      <c r="A72" s="10"/>
      <c r="B72" s="20" t="s">
        <v>120</v>
      </c>
      <c r="C72" s="21">
        <v>7</v>
      </c>
      <c r="D72" s="21"/>
      <c r="E72" s="93">
        <f t="shared" ref="E72:Q72" si="31">SUM(E65:E71)</f>
        <v>3051668.91666667</v>
      </c>
      <c r="F72" s="912">
        <f t="shared" si="31"/>
        <v>2335424</v>
      </c>
      <c r="G72" s="93">
        <f t="shared" si="31"/>
        <v>1407331</v>
      </c>
      <c r="H72" s="93">
        <f t="shared" si="31"/>
        <v>3742755</v>
      </c>
      <c r="I72" s="93">
        <f t="shared" si="31"/>
        <v>691086.083333334</v>
      </c>
      <c r="J72" s="93">
        <f t="shared" si="31"/>
        <v>238487.353333333</v>
      </c>
      <c r="K72" s="93">
        <f t="shared" si="31"/>
        <v>299420.4</v>
      </c>
      <c r="L72" s="93">
        <f t="shared" si="31"/>
        <v>60933.0466666668</v>
      </c>
      <c r="M72" s="93">
        <f t="shared" si="31"/>
        <v>10293.3979166667</v>
      </c>
      <c r="N72" s="93">
        <f t="shared" si="31"/>
        <v>13866.7375</v>
      </c>
      <c r="O72" s="93">
        <f t="shared" si="31"/>
        <v>3573.3395833333</v>
      </c>
      <c r="P72" s="93">
        <f t="shared" si="31"/>
        <v>3593044.8</v>
      </c>
      <c r="Q72" s="93">
        <f t="shared" si="31"/>
        <v>166400.85</v>
      </c>
    </row>
    <row r="73" customHeight="1" spans="1:17">
      <c r="A73" s="10"/>
      <c r="B73" s="22"/>
      <c r="C73" s="21"/>
      <c r="D73" s="21"/>
      <c r="E73" s="146"/>
      <c r="F73" s="913"/>
      <c r="G73" s="146"/>
      <c r="H73" s="220"/>
      <c r="I73" s="220"/>
      <c r="J73" s="916"/>
      <c r="K73" s="916"/>
      <c r="L73" s="916"/>
      <c r="M73" s="916"/>
      <c r="N73" s="916"/>
      <c r="O73" s="916"/>
      <c r="P73" s="916"/>
      <c r="Q73" s="916"/>
    </row>
    <row r="74" customHeight="1" spans="1:17">
      <c r="A74" s="10"/>
      <c r="B74" s="20" t="s">
        <v>180</v>
      </c>
      <c r="C74" s="21"/>
      <c r="D74" s="21"/>
      <c r="E74" s="146"/>
      <c r="F74" s="913"/>
      <c r="G74" s="146"/>
      <c r="H74" s="220"/>
      <c r="I74" s="220"/>
      <c r="J74" s="916"/>
      <c r="K74" s="916"/>
      <c r="L74" s="916"/>
      <c r="M74" s="916"/>
      <c r="N74" s="916"/>
      <c r="O74" s="916"/>
      <c r="P74" s="916"/>
      <c r="Q74" s="916"/>
    </row>
    <row r="75" customHeight="1" spans="1:17">
      <c r="A75" s="10">
        <v>1</v>
      </c>
      <c r="B75" s="11" t="s">
        <v>181</v>
      </c>
      <c r="C75" s="4" t="s">
        <v>182</v>
      </c>
      <c r="D75" s="10" t="s">
        <v>124</v>
      </c>
      <c r="E75" s="85">
        <v>1435720</v>
      </c>
      <c r="F75" s="909">
        <v>1086777.08333333</v>
      </c>
      <c r="G75" s="220">
        <v>660329.333333333</v>
      </c>
      <c r="H75" s="911">
        <f t="shared" ref="H75:H80" si="32">F75+G75</f>
        <v>1747106.41666666</v>
      </c>
      <c r="I75" s="220">
        <f t="shared" ref="I75:I80" si="33">H75-E75</f>
        <v>311386.416666663</v>
      </c>
      <c r="J75" s="916">
        <v>114857.6</v>
      </c>
      <c r="K75" s="916">
        <f t="shared" ref="K75:K80" si="34">H75*0.08</f>
        <v>139768.513333333</v>
      </c>
      <c r="L75" s="916">
        <f t="shared" ref="L75:L80" si="35">K75-J75</f>
        <v>24910.913333333</v>
      </c>
      <c r="M75" s="916"/>
      <c r="N75" s="916"/>
      <c r="O75" s="916">
        <f t="shared" ref="O75:O80" si="36">N75-M75</f>
        <v>0</v>
      </c>
      <c r="P75" s="916">
        <f t="shared" ref="P75:P80" si="37">K75*12</f>
        <v>1677222.16</v>
      </c>
      <c r="Q75" s="916"/>
    </row>
    <row r="76" customHeight="1" spans="1:17">
      <c r="A76" s="10">
        <v>2</v>
      </c>
      <c r="B76" s="11" t="s">
        <v>185</v>
      </c>
      <c r="C76" s="4" t="s">
        <v>186</v>
      </c>
      <c r="D76" s="10" t="s">
        <v>41</v>
      </c>
      <c r="E76" s="85">
        <v>582118.083333333</v>
      </c>
      <c r="F76" s="909">
        <v>445995.833333333</v>
      </c>
      <c r="G76" s="220">
        <v>276599.666666667</v>
      </c>
      <c r="H76" s="911">
        <f t="shared" si="32"/>
        <v>722595.5</v>
      </c>
      <c r="I76" s="220">
        <f t="shared" si="33"/>
        <v>140477.416666667</v>
      </c>
      <c r="J76" s="916">
        <v>46569.4466666667</v>
      </c>
      <c r="K76" s="916">
        <f t="shared" si="34"/>
        <v>57807.64</v>
      </c>
      <c r="L76" s="916">
        <f t="shared" si="35"/>
        <v>11238.1933333333</v>
      </c>
      <c r="M76" s="916"/>
      <c r="N76" s="916"/>
      <c r="O76" s="916">
        <f t="shared" si="36"/>
        <v>0</v>
      </c>
      <c r="P76" s="916">
        <f t="shared" si="37"/>
        <v>693691.68</v>
      </c>
      <c r="Q76" s="916"/>
    </row>
    <row r="77" customHeight="1" spans="1:17">
      <c r="A77" s="10">
        <v>3</v>
      </c>
      <c r="B77" s="11" t="s">
        <v>187</v>
      </c>
      <c r="C77" s="4" t="s">
        <v>188</v>
      </c>
      <c r="D77" s="15" t="s">
        <v>46</v>
      </c>
      <c r="E77" s="85">
        <v>470498</v>
      </c>
      <c r="F77" s="909">
        <v>357066.666666667</v>
      </c>
      <c r="G77" s="220">
        <v>216844.416666667</v>
      </c>
      <c r="H77" s="911">
        <f t="shared" si="32"/>
        <v>573911.083333334</v>
      </c>
      <c r="I77" s="220">
        <f t="shared" si="33"/>
        <v>103413.083333334</v>
      </c>
      <c r="J77" s="916">
        <v>36529.78</v>
      </c>
      <c r="K77" s="916">
        <f t="shared" si="34"/>
        <v>45912.8866666667</v>
      </c>
      <c r="L77" s="916">
        <f t="shared" si="35"/>
        <v>9383.10666666672</v>
      </c>
      <c r="M77" s="916">
        <v>6154.32291666667</v>
      </c>
      <c r="N77" s="916">
        <f>0.025*F77</f>
        <v>8926.66666666668</v>
      </c>
      <c r="O77" s="916">
        <f t="shared" si="36"/>
        <v>2772.34375000001</v>
      </c>
      <c r="P77" s="916">
        <f t="shared" si="37"/>
        <v>550954.640000001</v>
      </c>
      <c r="Q77" s="916">
        <f>N77*12</f>
        <v>107120</v>
      </c>
    </row>
    <row r="78" customHeight="1" spans="1:17">
      <c r="A78" s="10">
        <v>4</v>
      </c>
      <c r="B78" s="11" t="s">
        <v>194</v>
      </c>
      <c r="C78" s="4" t="s">
        <v>195</v>
      </c>
      <c r="D78" s="10" t="s">
        <v>131</v>
      </c>
      <c r="E78" s="85">
        <v>365703.833333333</v>
      </c>
      <c r="F78" s="909">
        <v>286447.083333333</v>
      </c>
      <c r="G78" s="220">
        <v>168546.5</v>
      </c>
      <c r="H78" s="911">
        <f t="shared" si="32"/>
        <v>454993.583333333</v>
      </c>
      <c r="I78" s="220">
        <f t="shared" si="33"/>
        <v>89289.75</v>
      </c>
      <c r="J78" s="916">
        <v>28281</v>
      </c>
      <c r="K78" s="916">
        <f t="shared" si="34"/>
        <v>36399.4866666666</v>
      </c>
      <c r="L78" s="916">
        <f t="shared" si="35"/>
        <v>8118.48666666664</v>
      </c>
      <c r="M78" s="916"/>
      <c r="N78" s="916"/>
      <c r="O78" s="916">
        <f t="shared" si="36"/>
        <v>0</v>
      </c>
      <c r="P78" s="916">
        <f t="shared" si="37"/>
        <v>436793.84</v>
      </c>
      <c r="Q78" s="916"/>
    </row>
    <row r="79" customHeight="1" spans="1:17">
      <c r="A79" s="10">
        <v>5</v>
      </c>
      <c r="B79" s="11" t="s">
        <v>198</v>
      </c>
      <c r="C79" s="4" t="s">
        <v>179</v>
      </c>
      <c r="D79" s="10" t="s">
        <v>99</v>
      </c>
      <c r="E79" s="85">
        <v>263165.333333333</v>
      </c>
      <c r="F79" s="909">
        <v>222674.583333333</v>
      </c>
      <c r="G79" s="220">
        <v>124341.583333333</v>
      </c>
      <c r="H79" s="911">
        <f t="shared" si="32"/>
        <v>347016.166666666</v>
      </c>
      <c r="I79" s="220">
        <f t="shared" si="33"/>
        <v>83850.833333333</v>
      </c>
      <c r="J79" s="916">
        <v>21053.2266666667</v>
      </c>
      <c r="K79" s="916">
        <f t="shared" si="34"/>
        <v>27761.2933333333</v>
      </c>
      <c r="L79" s="916">
        <f t="shared" si="35"/>
        <v>6708.06666666658</v>
      </c>
      <c r="M79" s="916"/>
      <c r="N79" s="916"/>
      <c r="O79" s="916">
        <f t="shared" si="36"/>
        <v>0</v>
      </c>
      <c r="P79" s="916">
        <f t="shared" si="37"/>
        <v>333135.519999999</v>
      </c>
      <c r="Q79" s="916"/>
    </row>
    <row r="80" customHeight="1" spans="1:17">
      <c r="A80" s="10">
        <v>6</v>
      </c>
      <c r="B80" s="11" t="s">
        <v>200</v>
      </c>
      <c r="C80" s="4" t="s">
        <v>201</v>
      </c>
      <c r="D80" s="10" t="s">
        <v>108</v>
      </c>
      <c r="E80" s="85">
        <v>230631.916666667</v>
      </c>
      <c r="F80" s="909">
        <v>196364.416666667</v>
      </c>
      <c r="G80" s="220">
        <v>105546.333333333</v>
      </c>
      <c r="H80" s="911">
        <f t="shared" si="32"/>
        <v>301910.75</v>
      </c>
      <c r="I80" s="220">
        <f t="shared" si="33"/>
        <v>71278.833333333</v>
      </c>
      <c r="J80" s="916">
        <v>17956.78</v>
      </c>
      <c r="K80" s="916">
        <f t="shared" si="34"/>
        <v>24152.86</v>
      </c>
      <c r="L80" s="916">
        <f t="shared" si="35"/>
        <v>6196.08</v>
      </c>
      <c r="M80" s="916"/>
      <c r="N80" s="916"/>
      <c r="O80" s="916">
        <f t="shared" si="36"/>
        <v>0</v>
      </c>
      <c r="P80" s="916">
        <f t="shared" si="37"/>
        <v>289834.32</v>
      </c>
      <c r="Q80" s="916"/>
    </row>
    <row r="81" customHeight="1" spans="1:17">
      <c r="A81" s="10"/>
      <c r="B81" s="20" t="s">
        <v>120</v>
      </c>
      <c r="C81" s="21">
        <v>6</v>
      </c>
      <c r="D81" s="21"/>
      <c r="E81" s="93">
        <f t="shared" ref="E81:Q81" si="38">SUM(E75:E80)</f>
        <v>3347837.16666667</v>
      </c>
      <c r="F81" s="912">
        <f t="shared" si="38"/>
        <v>2595325.66666666</v>
      </c>
      <c r="G81" s="93">
        <f t="shared" si="38"/>
        <v>1552207.83333333</v>
      </c>
      <c r="H81" s="93">
        <f t="shared" si="38"/>
        <v>4147533.5</v>
      </c>
      <c r="I81" s="93">
        <f t="shared" si="38"/>
        <v>799696.33333333</v>
      </c>
      <c r="J81" s="93">
        <f t="shared" si="38"/>
        <v>265247.833333333</v>
      </c>
      <c r="K81" s="93">
        <f t="shared" si="38"/>
        <v>331802.68</v>
      </c>
      <c r="L81" s="93">
        <f t="shared" si="38"/>
        <v>66554.8466666663</v>
      </c>
      <c r="M81" s="93">
        <f t="shared" si="38"/>
        <v>6154.32291666667</v>
      </c>
      <c r="N81" s="93">
        <f t="shared" si="38"/>
        <v>8926.66666666668</v>
      </c>
      <c r="O81" s="93">
        <f t="shared" si="38"/>
        <v>2772.34375000001</v>
      </c>
      <c r="P81" s="93">
        <f t="shared" si="38"/>
        <v>3981632.16</v>
      </c>
      <c r="Q81" s="93">
        <f t="shared" si="38"/>
        <v>107120</v>
      </c>
    </row>
    <row r="82" customHeight="1" spans="1:17">
      <c r="A82" s="10"/>
      <c r="B82" s="20"/>
      <c r="C82" s="21"/>
      <c r="D82" s="21"/>
      <c r="E82" s="146"/>
      <c r="F82" s="913"/>
      <c r="G82" s="146"/>
      <c r="H82" s="220"/>
      <c r="I82" s="220"/>
      <c r="J82" s="916"/>
      <c r="K82" s="916"/>
      <c r="L82" s="916"/>
      <c r="M82" s="916"/>
      <c r="N82" s="916"/>
      <c r="O82" s="916"/>
      <c r="P82" s="916"/>
      <c r="Q82" s="916"/>
    </row>
    <row r="83" customHeight="1" spans="1:17">
      <c r="A83" s="10"/>
      <c r="B83" s="20" t="s">
        <v>202</v>
      </c>
      <c r="C83" s="25"/>
      <c r="D83" s="21"/>
      <c r="E83" s="146"/>
      <c r="F83" s="913"/>
      <c r="G83" s="146"/>
      <c r="H83" s="220"/>
      <c r="I83" s="220"/>
      <c r="J83" s="916"/>
      <c r="K83" s="916"/>
      <c r="L83" s="916"/>
      <c r="M83" s="916"/>
      <c r="N83" s="916"/>
      <c r="O83" s="916"/>
      <c r="P83" s="916"/>
      <c r="Q83" s="916"/>
    </row>
    <row r="84" customHeight="1" spans="1:17">
      <c r="A84" s="10">
        <v>1</v>
      </c>
      <c r="B84" s="11" t="s">
        <v>203</v>
      </c>
      <c r="C84" s="4" t="s">
        <v>142</v>
      </c>
      <c r="D84" s="10" t="s">
        <v>505</v>
      </c>
      <c r="E84" s="85">
        <f>'[3]Annual &amp; Monthly'!$H$44</f>
        <v>1352042.66666667</v>
      </c>
      <c r="F84" s="909">
        <v>1025768.33333333</v>
      </c>
      <c r="G84" s="85">
        <v>621843.666666667</v>
      </c>
      <c r="H84" s="220">
        <f t="shared" ref="H84:H93" si="39">F84+G84</f>
        <v>1647612</v>
      </c>
      <c r="I84" s="220">
        <f t="shared" ref="I84:I93" si="40">H84-E84</f>
        <v>295569.33333333</v>
      </c>
      <c r="J84" s="916">
        <v>114857.6</v>
      </c>
      <c r="K84" s="916">
        <f t="shared" ref="K84:K93" si="41">H84*0.08</f>
        <v>131808.96</v>
      </c>
      <c r="L84" s="916">
        <f t="shared" ref="L84:L93" si="42">K84-J84</f>
        <v>16951.3599999998</v>
      </c>
      <c r="M84" s="916">
        <v>18254.975</v>
      </c>
      <c r="N84" s="916">
        <f>0.025*F84</f>
        <v>25644.2083333333</v>
      </c>
      <c r="O84" s="916">
        <f t="shared" ref="O84:O93" si="43">N84-M84</f>
        <v>7389.23333333325</v>
      </c>
      <c r="P84" s="916">
        <f t="shared" ref="P84:P93" si="44">12*K84</f>
        <v>1581707.52</v>
      </c>
      <c r="Q84" s="916">
        <f>N84*12</f>
        <v>307730.499999999</v>
      </c>
    </row>
    <row r="85" customHeight="1" spans="1:17">
      <c r="A85" s="10">
        <v>2</v>
      </c>
      <c r="B85" s="11" t="s">
        <v>205</v>
      </c>
      <c r="C85" s="4" t="s">
        <v>206</v>
      </c>
      <c r="D85" s="10" t="s">
        <v>506</v>
      </c>
      <c r="E85" s="85">
        <v>716034</v>
      </c>
      <c r="F85" s="909">
        <v>523386.5</v>
      </c>
      <c r="G85" s="85">
        <v>329324.583333333</v>
      </c>
      <c r="H85" s="220">
        <f t="shared" si="39"/>
        <v>852711.083333333</v>
      </c>
      <c r="I85" s="220">
        <f t="shared" si="40"/>
        <v>136677.083333333</v>
      </c>
      <c r="J85" s="916">
        <v>59136.2866666667</v>
      </c>
      <c r="K85" s="916">
        <f t="shared" si="41"/>
        <v>68216.8866666666</v>
      </c>
      <c r="L85" s="916">
        <f t="shared" si="42"/>
        <v>9080.59999999994</v>
      </c>
      <c r="M85" s="916"/>
      <c r="N85" s="916"/>
      <c r="O85" s="916">
        <f t="shared" si="43"/>
        <v>0</v>
      </c>
      <c r="P85" s="916">
        <f t="shared" si="44"/>
        <v>818602.64</v>
      </c>
      <c r="Q85" s="916"/>
    </row>
    <row r="86" customHeight="1" spans="1:17">
      <c r="A86" s="10">
        <v>3</v>
      </c>
      <c r="B86" s="11" t="s">
        <v>208</v>
      </c>
      <c r="C86" s="4" t="s">
        <v>142</v>
      </c>
      <c r="D86" s="10" t="s">
        <v>49</v>
      </c>
      <c r="E86" s="85">
        <v>601396.833333333</v>
      </c>
      <c r="F86" s="909">
        <v>445995.833333333</v>
      </c>
      <c r="G86" s="220">
        <v>276599.666666667</v>
      </c>
      <c r="H86" s="220">
        <f t="shared" si="39"/>
        <v>722595.5</v>
      </c>
      <c r="I86" s="220">
        <f t="shared" si="40"/>
        <v>121198.666666667</v>
      </c>
      <c r="J86" s="916">
        <v>46569.4466666667</v>
      </c>
      <c r="K86" s="916">
        <f t="shared" si="41"/>
        <v>57807.64</v>
      </c>
      <c r="L86" s="916">
        <f t="shared" si="42"/>
        <v>11238.1933333333</v>
      </c>
      <c r="M86" s="916"/>
      <c r="N86" s="916"/>
      <c r="O86" s="916">
        <f t="shared" si="43"/>
        <v>0</v>
      </c>
      <c r="P86" s="916">
        <f t="shared" si="44"/>
        <v>693691.68</v>
      </c>
      <c r="Q86" s="916"/>
    </row>
    <row r="87" ht="21.6" customHeight="1" spans="1:17">
      <c r="A87" s="10">
        <v>4</v>
      </c>
      <c r="B87" s="11" t="s">
        <v>209</v>
      </c>
      <c r="C87" s="4" t="s">
        <v>51</v>
      </c>
      <c r="D87" s="15" t="s">
        <v>212</v>
      </c>
      <c r="E87" s="85">
        <v>456622.25</v>
      </c>
      <c r="F87" s="909">
        <v>442746.5</v>
      </c>
      <c r="G87" s="220">
        <v>210449.333333333</v>
      </c>
      <c r="H87" s="220">
        <f t="shared" si="39"/>
        <v>653195.833333333</v>
      </c>
      <c r="I87" s="220">
        <f t="shared" si="40"/>
        <v>196573.583333333</v>
      </c>
      <c r="J87" s="916">
        <v>35344.3933333333</v>
      </c>
      <c r="K87" s="916">
        <f t="shared" si="41"/>
        <v>52255.6666666666</v>
      </c>
      <c r="L87" s="916">
        <f t="shared" si="42"/>
        <v>16911.2733333333</v>
      </c>
      <c r="M87" s="916"/>
      <c r="N87" s="916"/>
      <c r="O87" s="916">
        <f t="shared" si="43"/>
        <v>0</v>
      </c>
      <c r="P87" s="916">
        <f t="shared" si="44"/>
        <v>627068</v>
      </c>
      <c r="Q87" s="916"/>
    </row>
    <row r="88" ht="21.6" customHeight="1" spans="1:17">
      <c r="A88" s="10">
        <v>5</v>
      </c>
      <c r="B88" s="11" t="s">
        <v>210</v>
      </c>
      <c r="C88" s="4" t="s">
        <v>51</v>
      </c>
      <c r="D88" s="15" t="s">
        <v>212</v>
      </c>
      <c r="E88" s="85">
        <v>456622.25</v>
      </c>
      <c r="F88" s="909">
        <v>442746.5</v>
      </c>
      <c r="G88" s="220">
        <v>210449.333333333</v>
      </c>
      <c r="H88" s="220">
        <f t="shared" si="39"/>
        <v>653195.833333333</v>
      </c>
      <c r="I88" s="220">
        <f t="shared" si="40"/>
        <v>196573.583333333</v>
      </c>
      <c r="J88" s="916">
        <v>35419.72</v>
      </c>
      <c r="K88" s="916">
        <f t="shared" si="41"/>
        <v>52255.6666666666</v>
      </c>
      <c r="L88" s="916">
        <f t="shared" si="42"/>
        <v>16835.9466666666</v>
      </c>
      <c r="M88" s="916"/>
      <c r="N88" s="916"/>
      <c r="O88" s="916">
        <f t="shared" si="43"/>
        <v>0</v>
      </c>
      <c r="P88" s="916">
        <f t="shared" si="44"/>
        <v>627068</v>
      </c>
      <c r="Q88" s="916"/>
    </row>
    <row r="89" ht="21.6" customHeight="1" spans="1:17">
      <c r="A89" s="10">
        <v>6</v>
      </c>
      <c r="B89" s="11" t="s">
        <v>211</v>
      </c>
      <c r="C89" s="12" t="s">
        <v>51</v>
      </c>
      <c r="D89" s="15" t="s">
        <v>52</v>
      </c>
      <c r="E89" s="85">
        <v>442746.5</v>
      </c>
      <c r="F89" s="909">
        <v>428870.75</v>
      </c>
      <c r="G89" s="220">
        <v>204054.25</v>
      </c>
      <c r="H89" s="220">
        <f t="shared" si="39"/>
        <v>632925</v>
      </c>
      <c r="I89" s="220">
        <f t="shared" si="40"/>
        <v>190178.5</v>
      </c>
      <c r="J89" s="916">
        <v>34309.66</v>
      </c>
      <c r="K89" s="916">
        <f t="shared" si="41"/>
        <v>50634</v>
      </c>
      <c r="L89" s="916">
        <f t="shared" si="42"/>
        <v>16324.34</v>
      </c>
      <c r="M89" s="916"/>
      <c r="N89" s="916"/>
      <c r="O89" s="916">
        <f t="shared" si="43"/>
        <v>0</v>
      </c>
      <c r="P89" s="916">
        <f t="shared" si="44"/>
        <v>607608</v>
      </c>
      <c r="Q89" s="916"/>
    </row>
    <row r="90" ht="21.6" customHeight="1" spans="1:17">
      <c r="A90" s="10">
        <v>7</v>
      </c>
      <c r="B90" s="11" t="s">
        <v>213</v>
      </c>
      <c r="C90" s="17" t="s">
        <v>71</v>
      </c>
      <c r="D90" s="15" t="s">
        <v>69</v>
      </c>
      <c r="E90" s="85">
        <v>377895.166666667</v>
      </c>
      <c r="F90" s="909">
        <v>294662.916666667</v>
      </c>
      <c r="G90" s="220">
        <v>174165.25</v>
      </c>
      <c r="H90" s="220">
        <f t="shared" si="39"/>
        <v>468828.166666667</v>
      </c>
      <c r="I90" s="220">
        <f t="shared" si="40"/>
        <v>90933</v>
      </c>
      <c r="J90" s="916">
        <v>29256.3066666667</v>
      </c>
      <c r="K90" s="916">
        <f t="shared" si="41"/>
        <v>37506.2533333334</v>
      </c>
      <c r="L90" s="916">
        <f t="shared" si="42"/>
        <v>8249.94666666666</v>
      </c>
      <c r="M90" s="916"/>
      <c r="N90" s="916"/>
      <c r="O90" s="916">
        <f t="shared" si="43"/>
        <v>0</v>
      </c>
      <c r="P90" s="916">
        <f t="shared" si="44"/>
        <v>450075.04</v>
      </c>
      <c r="Q90" s="916"/>
    </row>
    <row r="91" ht="21.6" customHeight="1" spans="1:17">
      <c r="A91" s="10">
        <v>8</v>
      </c>
      <c r="B91" s="11" t="s">
        <v>214</v>
      </c>
      <c r="C91" s="17" t="s">
        <v>167</v>
      </c>
      <c r="D91" s="15" t="s">
        <v>63</v>
      </c>
      <c r="E91" s="85">
        <v>403137.916666667</v>
      </c>
      <c r="F91" s="909">
        <v>311673.25</v>
      </c>
      <c r="G91" s="220">
        <v>185799.5</v>
      </c>
      <c r="H91" s="220">
        <f t="shared" si="39"/>
        <v>497472.75</v>
      </c>
      <c r="I91" s="220">
        <f t="shared" si="40"/>
        <v>94334.833333333</v>
      </c>
      <c r="J91" s="916">
        <v>31219.9133333333</v>
      </c>
      <c r="K91" s="916">
        <f t="shared" si="41"/>
        <v>39797.82</v>
      </c>
      <c r="L91" s="916">
        <f t="shared" si="42"/>
        <v>8577.9066666667</v>
      </c>
      <c r="M91" s="916">
        <v>5259.74375</v>
      </c>
      <c r="N91" s="916">
        <f>0.025*F91</f>
        <v>7791.83125</v>
      </c>
      <c r="O91" s="916">
        <f t="shared" si="43"/>
        <v>2532.0875</v>
      </c>
      <c r="P91" s="916">
        <f t="shared" si="44"/>
        <v>477573.84</v>
      </c>
      <c r="Q91" s="916">
        <f>N91*12</f>
        <v>93501.975</v>
      </c>
    </row>
    <row r="92" ht="21.6" customHeight="1" spans="1:17">
      <c r="A92" s="10">
        <v>9</v>
      </c>
      <c r="B92" s="11" t="s">
        <v>217</v>
      </c>
      <c r="C92" s="4" t="s">
        <v>218</v>
      </c>
      <c r="D92" s="10" t="s">
        <v>77</v>
      </c>
      <c r="E92" s="220">
        <v>308901.5</v>
      </c>
      <c r="F92" s="909">
        <v>246171.166666667</v>
      </c>
      <c r="G92" s="220">
        <v>143964.666666667</v>
      </c>
      <c r="H92" s="220">
        <f t="shared" si="39"/>
        <v>390135.833333334</v>
      </c>
      <c r="I92" s="220">
        <f t="shared" si="40"/>
        <v>81234.333333334</v>
      </c>
      <c r="J92" s="916">
        <v>24077.2466666667</v>
      </c>
      <c r="K92" s="916">
        <f t="shared" si="41"/>
        <v>31210.8666666667</v>
      </c>
      <c r="L92" s="916">
        <f t="shared" si="42"/>
        <v>7133.62000000002</v>
      </c>
      <c r="M92" s="916"/>
      <c r="N92" s="916"/>
      <c r="O92" s="916">
        <f t="shared" si="43"/>
        <v>0</v>
      </c>
      <c r="P92" s="916">
        <f t="shared" si="44"/>
        <v>374530.400000001</v>
      </c>
      <c r="Q92" s="916"/>
    </row>
    <row r="93" ht="21.6" customHeight="1" spans="1:17">
      <c r="A93" s="10">
        <v>10</v>
      </c>
      <c r="B93" s="11" t="s">
        <v>221</v>
      </c>
      <c r="C93" s="17" t="s">
        <v>222</v>
      </c>
      <c r="D93" s="15" t="s">
        <v>105</v>
      </c>
      <c r="E93" s="220">
        <v>236804.083333333</v>
      </c>
      <c r="F93" s="909">
        <v>200549.416666667</v>
      </c>
      <c r="G93" s="220">
        <v>108371.25</v>
      </c>
      <c r="H93" s="220">
        <f t="shared" si="39"/>
        <v>308920.666666667</v>
      </c>
      <c r="I93" s="220">
        <f t="shared" si="40"/>
        <v>72116.583333334</v>
      </c>
      <c r="J93" s="916">
        <v>18450.5533333333</v>
      </c>
      <c r="K93" s="916">
        <f t="shared" si="41"/>
        <v>24713.6533333334</v>
      </c>
      <c r="L93" s="916">
        <f t="shared" si="42"/>
        <v>6263.10000000006</v>
      </c>
      <c r="M93" s="916"/>
      <c r="N93" s="916"/>
      <c r="O93" s="916">
        <f t="shared" si="43"/>
        <v>0</v>
      </c>
      <c r="P93" s="916">
        <f t="shared" si="44"/>
        <v>296563.84</v>
      </c>
      <c r="Q93" s="916"/>
    </row>
    <row r="94" customHeight="1" spans="1:17">
      <c r="A94" s="10"/>
      <c r="B94" s="20" t="s">
        <v>120</v>
      </c>
      <c r="C94" s="21">
        <v>10</v>
      </c>
      <c r="D94" s="21"/>
      <c r="E94" s="93">
        <f t="shared" ref="E94:Q94" si="45">SUM(E84:E93)</f>
        <v>5352203.16666667</v>
      </c>
      <c r="F94" s="912">
        <f t="shared" si="45"/>
        <v>4362571.16666666</v>
      </c>
      <c r="G94" s="93">
        <f t="shared" si="45"/>
        <v>2465021.5</v>
      </c>
      <c r="H94" s="93">
        <f t="shared" si="45"/>
        <v>6827592.66666666</v>
      </c>
      <c r="I94" s="93">
        <f t="shared" si="45"/>
        <v>1475389.5</v>
      </c>
      <c r="J94" s="93">
        <f t="shared" si="45"/>
        <v>428641.126666667</v>
      </c>
      <c r="K94" s="93">
        <f t="shared" si="45"/>
        <v>546207.413333333</v>
      </c>
      <c r="L94" s="93">
        <f t="shared" si="45"/>
        <v>117566.286666666</v>
      </c>
      <c r="M94" s="93">
        <f t="shared" si="45"/>
        <v>23514.71875</v>
      </c>
      <c r="N94" s="93">
        <f t="shared" si="45"/>
        <v>33436.0395833333</v>
      </c>
      <c r="O94" s="93">
        <f t="shared" si="45"/>
        <v>9921.32083333325</v>
      </c>
      <c r="P94" s="93">
        <f t="shared" si="45"/>
        <v>6554488.96</v>
      </c>
      <c r="Q94" s="93">
        <f t="shared" si="45"/>
        <v>401232.474999999</v>
      </c>
    </row>
    <row r="95" customHeight="1" spans="1:17">
      <c r="A95" s="10"/>
      <c r="B95" s="22"/>
      <c r="C95" s="21"/>
      <c r="D95" s="21"/>
      <c r="E95" s="146"/>
      <c r="F95" s="913"/>
      <c r="G95" s="146"/>
      <c r="H95" s="220"/>
      <c r="I95" s="220"/>
      <c r="J95" s="916"/>
      <c r="K95" s="916"/>
      <c r="L95" s="916"/>
      <c r="M95" s="916"/>
      <c r="N95" s="916"/>
      <c r="O95" s="916"/>
      <c r="P95" s="916"/>
      <c r="Q95" s="916"/>
    </row>
    <row r="96" customHeight="1" spans="1:17">
      <c r="A96" s="10"/>
      <c r="B96" s="20" t="s">
        <v>224</v>
      </c>
      <c r="C96" s="21"/>
      <c r="D96" s="21"/>
      <c r="E96" s="146"/>
      <c r="F96" s="913"/>
      <c r="G96" s="146"/>
      <c r="H96" s="220"/>
      <c r="I96" s="220"/>
      <c r="J96" s="916"/>
      <c r="K96" s="916"/>
      <c r="L96" s="916"/>
      <c r="M96" s="916"/>
      <c r="N96" s="916"/>
      <c r="O96" s="916"/>
      <c r="P96" s="916"/>
      <c r="Q96" s="916"/>
    </row>
    <row r="97" customHeight="1" spans="1:17">
      <c r="A97" s="10">
        <v>1</v>
      </c>
      <c r="B97" s="14" t="s">
        <v>225</v>
      </c>
      <c r="C97" s="4" t="s">
        <v>554</v>
      </c>
      <c r="D97" s="16" t="s">
        <v>140</v>
      </c>
      <c r="E97" s="85">
        <v>1393881.33333333</v>
      </c>
      <c r="F97" s="909">
        <v>1056272.83333333</v>
      </c>
      <c r="G97" s="220">
        <v>641086.5</v>
      </c>
      <c r="H97" s="911">
        <f t="shared" ref="H97:H101" si="46">F97+G97</f>
        <v>1697359.33333333</v>
      </c>
      <c r="I97" s="220">
        <f t="shared" ref="I97:I101" si="47">H97-E97</f>
        <v>303478</v>
      </c>
      <c r="J97" s="916">
        <v>114857.6</v>
      </c>
      <c r="K97" s="916">
        <f t="shared" ref="K97:K101" si="48">H97*0.08</f>
        <v>135788.746666666</v>
      </c>
      <c r="L97" s="916">
        <f t="shared" ref="L97:L101" si="49">K97-J97</f>
        <v>20931.1466666664</v>
      </c>
      <c r="M97" s="916">
        <v>18254.975</v>
      </c>
      <c r="N97" s="916">
        <f>0.025*F97</f>
        <v>26406.8208333333</v>
      </c>
      <c r="O97" s="916">
        <f t="shared" ref="O97:O101" si="50">N97-M97</f>
        <v>8151.84583333325</v>
      </c>
      <c r="P97" s="916">
        <f t="shared" ref="P97:P101" si="51">12*K97</f>
        <v>1629464.96</v>
      </c>
      <c r="Q97" s="916">
        <f t="shared" ref="Q97:Q101" si="52">N97*12</f>
        <v>316881.849999999</v>
      </c>
    </row>
    <row r="98" customHeight="1" spans="1:17">
      <c r="A98" s="10">
        <v>2</v>
      </c>
      <c r="B98" s="11" t="s">
        <v>227</v>
      </c>
      <c r="C98" s="4" t="s">
        <v>228</v>
      </c>
      <c r="D98" s="15" t="s">
        <v>46</v>
      </c>
      <c r="E98" s="85">
        <v>470498</v>
      </c>
      <c r="F98" s="909">
        <v>357066.666666667</v>
      </c>
      <c r="G98" s="220">
        <v>216844.416666667</v>
      </c>
      <c r="H98" s="911">
        <f t="shared" si="46"/>
        <v>573911.083333334</v>
      </c>
      <c r="I98" s="220">
        <f t="shared" si="47"/>
        <v>103413.083333334</v>
      </c>
      <c r="J98" s="916">
        <v>36529.78</v>
      </c>
      <c r="K98" s="916">
        <f t="shared" si="48"/>
        <v>45912.8866666667</v>
      </c>
      <c r="L98" s="916">
        <f t="shared" si="49"/>
        <v>9383.10666666672</v>
      </c>
      <c r="M98" s="916"/>
      <c r="N98" s="916"/>
      <c r="O98" s="916">
        <f t="shared" si="50"/>
        <v>0</v>
      </c>
      <c r="P98" s="916">
        <f t="shared" si="51"/>
        <v>550954.640000001</v>
      </c>
      <c r="Q98" s="916">
        <f t="shared" si="52"/>
        <v>0</v>
      </c>
    </row>
    <row r="99" customHeight="1" spans="1:17">
      <c r="A99" s="10">
        <v>3</v>
      </c>
      <c r="B99" s="11" t="s">
        <v>229</v>
      </c>
      <c r="C99" s="12" t="s">
        <v>230</v>
      </c>
      <c r="D99" s="15" t="s">
        <v>63</v>
      </c>
      <c r="E99" s="85">
        <v>403137.916666667</v>
      </c>
      <c r="F99" s="909">
        <v>311673.25</v>
      </c>
      <c r="G99" s="220">
        <v>185799.5</v>
      </c>
      <c r="H99" s="911">
        <f t="shared" si="46"/>
        <v>497472.75</v>
      </c>
      <c r="I99" s="220">
        <f t="shared" si="47"/>
        <v>94334.833333333</v>
      </c>
      <c r="J99" s="916">
        <v>31219.91</v>
      </c>
      <c r="K99" s="916">
        <f t="shared" si="48"/>
        <v>39797.82</v>
      </c>
      <c r="L99" s="916">
        <f t="shared" si="49"/>
        <v>8577.91</v>
      </c>
      <c r="M99" s="916">
        <v>5967.30625</v>
      </c>
      <c r="N99" s="916">
        <f>0.025*F99</f>
        <v>7791.83125</v>
      </c>
      <c r="O99" s="916">
        <f t="shared" si="50"/>
        <v>1824.525</v>
      </c>
      <c r="P99" s="916">
        <f t="shared" si="51"/>
        <v>477573.84</v>
      </c>
      <c r="Q99" s="916">
        <f t="shared" si="52"/>
        <v>93501.975</v>
      </c>
    </row>
    <row r="100" customHeight="1" spans="1:17">
      <c r="A100" s="10">
        <v>4</v>
      </c>
      <c r="B100" s="11" t="s">
        <v>233</v>
      </c>
      <c r="C100" s="4" t="s">
        <v>555</v>
      </c>
      <c r="D100" s="15" t="s">
        <v>170</v>
      </c>
      <c r="E100" s="85">
        <v>390086.5</v>
      </c>
      <c r="F100" s="909">
        <v>302878.666666667</v>
      </c>
      <c r="G100" s="220">
        <v>179784</v>
      </c>
      <c r="H100" s="911">
        <f t="shared" si="46"/>
        <v>482662.666666667</v>
      </c>
      <c r="I100" s="220">
        <f t="shared" si="47"/>
        <v>92576.166666667</v>
      </c>
      <c r="J100" s="916">
        <v>30231.6133333333</v>
      </c>
      <c r="K100" s="916">
        <f t="shared" si="48"/>
        <v>38613.0133333334</v>
      </c>
      <c r="L100" s="916">
        <f t="shared" si="49"/>
        <v>8381.40000000006</v>
      </c>
      <c r="M100" s="916"/>
      <c r="N100" s="916"/>
      <c r="O100" s="916">
        <f t="shared" si="50"/>
        <v>0</v>
      </c>
      <c r="P100" s="916">
        <f t="shared" si="51"/>
        <v>463356.16</v>
      </c>
      <c r="Q100" s="916">
        <f t="shared" si="52"/>
        <v>0</v>
      </c>
    </row>
    <row r="101" customHeight="1" spans="1:17">
      <c r="A101" s="10">
        <v>5</v>
      </c>
      <c r="B101" s="11" t="s">
        <v>234</v>
      </c>
      <c r="C101" s="4" t="s">
        <v>197</v>
      </c>
      <c r="D101" s="15" t="s">
        <v>77</v>
      </c>
      <c r="E101" s="220">
        <v>308901.5</v>
      </c>
      <c r="F101" s="909">
        <v>246171.166666667</v>
      </c>
      <c r="G101" s="220">
        <v>143964.666666667</v>
      </c>
      <c r="H101" s="911">
        <f t="shared" si="46"/>
        <v>390135.833333334</v>
      </c>
      <c r="I101" s="220">
        <f t="shared" si="47"/>
        <v>81234.333333334</v>
      </c>
      <c r="J101" s="916">
        <v>24077.2466666667</v>
      </c>
      <c r="K101" s="916">
        <f t="shared" si="48"/>
        <v>31210.8666666667</v>
      </c>
      <c r="L101" s="916">
        <f t="shared" si="49"/>
        <v>7133.62000000002</v>
      </c>
      <c r="M101" s="916"/>
      <c r="N101" s="916"/>
      <c r="O101" s="916">
        <f t="shared" si="50"/>
        <v>0</v>
      </c>
      <c r="P101" s="916">
        <f t="shared" si="51"/>
        <v>374530.400000001</v>
      </c>
      <c r="Q101" s="916">
        <f t="shared" si="52"/>
        <v>0</v>
      </c>
    </row>
    <row r="102" customHeight="1" spans="1:17">
      <c r="A102" s="4"/>
      <c r="B102" s="20" t="s">
        <v>120</v>
      </c>
      <c r="C102" s="21">
        <v>5</v>
      </c>
      <c r="D102" s="26"/>
      <c r="E102" s="93">
        <f t="shared" ref="E102:Q102" si="53">SUM(E97:E101)</f>
        <v>2966505.25</v>
      </c>
      <c r="F102" s="912">
        <f t="shared" si="53"/>
        <v>2274062.58333333</v>
      </c>
      <c r="G102" s="93">
        <f t="shared" si="53"/>
        <v>1367479.08333333</v>
      </c>
      <c r="H102" s="93">
        <f t="shared" si="53"/>
        <v>3641541.66666667</v>
      </c>
      <c r="I102" s="93">
        <f t="shared" si="53"/>
        <v>675036.416666668</v>
      </c>
      <c r="J102" s="93">
        <f t="shared" si="53"/>
        <v>236916.15</v>
      </c>
      <c r="K102" s="93">
        <f t="shared" si="53"/>
        <v>291323.333333333</v>
      </c>
      <c r="L102" s="93">
        <f t="shared" si="53"/>
        <v>54407.1833333332</v>
      </c>
      <c r="M102" s="93">
        <f t="shared" si="53"/>
        <v>24222.28125</v>
      </c>
      <c r="N102" s="93">
        <f t="shared" si="53"/>
        <v>34198.6520833333</v>
      </c>
      <c r="O102" s="93">
        <f t="shared" si="53"/>
        <v>9976.37083333325</v>
      </c>
      <c r="P102" s="93">
        <f t="shared" si="53"/>
        <v>3495880</v>
      </c>
      <c r="Q102" s="93">
        <f t="shared" si="53"/>
        <v>410383.824999999</v>
      </c>
    </row>
    <row r="103" customHeight="1" spans="1:17">
      <c r="A103" s="4"/>
      <c r="B103" s="22"/>
      <c r="C103" s="21"/>
      <c r="D103" s="26"/>
      <c r="E103" s="146"/>
      <c r="F103" s="913"/>
      <c r="G103" s="146"/>
      <c r="H103" s="220"/>
      <c r="I103" s="220"/>
      <c r="J103" s="916"/>
      <c r="K103" s="916"/>
      <c r="L103" s="916"/>
      <c r="M103" s="916"/>
      <c r="N103" s="916"/>
      <c r="O103" s="916"/>
      <c r="P103" s="916"/>
      <c r="Q103" s="916"/>
    </row>
    <row r="104" customHeight="1" spans="1:17">
      <c r="A104" s="4"/>
      <c r="B104" s="20" t="s">
        <v>237</v>
      </c>
      <c r="C104" s="4"/>
      <c r="D104" s="4"/>
      <c r="E104" s="4"/>
      <c r="F104" s="917"/>
      <c r="G104" s="4"/>
      <c r="H104" s="220"/>
      <c r="I104" s="220"/>
      <c r="J104" s="916"/>
      <c r="K104" s="916"/>
      <c r="L104" s="916"/>
      <c r="M104" s="916"/>
      <c r="N104" s="916"/>
      <c r="O104" s="916"/>
      <c r="P104" s="916"/>
      <c r="Q104" s="916"/>
    </row>
    <row r="105" customHeight="1" spans="1:17">
      <c r="A105" s="4">
        <v>1</v>
      </c>
      <c r="B105" s="11" t="s">
        <v>556</v>
      </c>
      <c r="C105" s="12" t="s">
        <v>239</v>
      </c>
      <c r="D105" s="15" t="s">
        <v>124</v>
      </c>
      <c r="E105" s="85">
        <v>1435720</v>
      </c>
      <c r="F105" s="909">
        <v>1086777.08333333</v>
      </c>
      <c r="G105" s="220">
        <v>660329.333333333</v>
      </c>
      <c r="H105" s="911">
        <f t="shared" ref="H105:H111" si="54">F105+G105</f>
        <v>1747106.41666666</v>
      </c>
      <c r="I105" s="220">
        <f t="shared" ref="I105:I111" si="55">H105-E105</f>
        <v>311386.416666663</v>
      </c>
      <c r="J105" s="916">
        <v>114857.6</v>
      </c>
      <c r="K105" s="916">
        <f t="shared" ref="K105:K111" si="56">H105*0.08</f>
        <v>139768.513333333</v>
      </c>
      <c r="L105" s="916">
        <f t="shared" ref="L105:L111" si="57">K105-J105</f>
        <v>24910.913333333</v>
      </c>
      <c r="M105" s="916">
        <v>0</v>
      </c>
      <c r="N105" s="916"/>
      <c r="O105" s="916">
        <f t="shared" ref="O105:O111" si="58">N105-M105</f>
        <v>0</v>
      </c>
      <c r="P105" s="916">
        <f t="shared" ref="P105:P111" si="59">K105*12</f>
        <v>1677222.16</v>
      </c>
      <c r="Q105" s="916"/>
    </row>
    <row r="106" customHeight="1" spans="1:17">
      <c r="A106" s="4">
        <v>2</v>
      </c>
      <c r="B106" s="11" t="s">
        <v>240</v>
      </c>
      <c r="C106" s="4" t="s">
        <v>241</v>
      </c>
      <c r="D106" s="16" t="s">
        <v>35</v>
      </c>
      <c r="E106" s="85">
        <v>762373.166666667</v>
      </c>
      <c r="F106" s="909">
        <v>554669.5</v>
      </c>
      <c r="G106" s="220">
        <v>350637.25</v>
      </c>
      <c r="H106" s="911">
        <f t="shared" si="54"/>
        <v>905306.75</v>
      </c>
      <c r="I106" s="220">
        <f t="shared" si="55"/>
        <v>142933.583333333</v>
      </c>
      <c r="J106" s="916">
        <v>60989.8533333333</v>
      </c>
      <c r="K106" s="916">
        <f t="shared" si="56"/>
        <v>72424.54</v>
      </c>
      <c r="L106" s="916">
        <f t="shared" si="57"/>
        <v>11434.6866666667</v>
      </c>
      <c r="M106" s="916">
        <v>10293.3979166667</v>
      </c>
      <c r="N106" s="916">
        <f>0.025*F106</f>
        <v>13866.7375</v>
      </c>
      <c r="O106" s="916">
        <f t="shared" si="58"/>
        <v>3573.3395833333</v>
      </c>
      <c r="P106" s="916">
        <f t="shared" si="59"/>
        <v>869094.48</v>
      </c>
      <c r="Q106" s="916">
        <f>N106*12</f>
        <v>166400.85</v>
      </c>
    </row>
    <row r="107" customHeight="1" spans="1:17">
      <c r="A107" s="4">
        <v>3</v>
      </c>
      <c r="B107" s="11" t="s">
        <v>242</v>
      </c>
      <c r="C107" s="4" t="s">
        <v>557</v>
      </c>
      <c r="D107" s="10" t="s">
        <v>55</v>
      </c>
      <c r="E107" s="85">
        <v>441804.916666667</v>
      </c>
      <c r="F107" s="909">
        <v>337730.833333333</v>
      </c>
      <c r="G107" s="220">
        <v>203620.5</v>
      </c>
      <c r="H107" s="911">
        <f t="shared" si="54"/>
        <v>541351.333333333</v>
      </c>
      <c r="I107" s="220">
        <f t="shared" si="55"/>
        <v>99546.416666666</v>
      </c>
      <c r="J107" s="916">
        <v>35344.3933333333</v>
      </c>
      <c r="K107" s="916">
        <f t="shared" si="56"/>
        <v>43308.1066666666</v>
      </c>
      <c r="L107" s="916">
        <f t="shared" si="57"/>
        <v>7963.71333333335</v>
      </c>
      <c r="M107" s="916">
        <v>5954.61041666667</v>
      </c>
      <c r="N107" s="916">
        <f>0.025*F107</f>
        <v>8443.27083333333</v>
      </c>
      <c r="O107" s="916">
        <f t="shared" si="58"/>
        <v>2488.66041666666</v>
      </c>
      <c r="P107" s="916">
        <f t="shared" si="59"/>
        <v>519697.28</v>
      </c>
      <c r="Q107" s="916">
        <f>N107*12</f>
        <v>101319.25</v>
      </c>
    </row>
    <row r="108" customHeight="1" spans="1:17">
      <c r="A108" s="4">
        <v>4</v>
      </c>
      <c r="B108" s="11" t="s">
        <v>244</v>
      </c>
      <c r="C108" s="4" t="s">
        <v>557</v>
      </c>
      <c r="D108" s="10" t="s">
        <v>55</v>
      </c>
      <c r="E108" s="85">
        <v>441804.916666667</v>
      </c>
      <c r="F108" s="909">
        <v>337730.833333333</v>
      </c>
      <c r="G108" s="220">
        <v>203620.5</v>
      </c>
      <c r="H108" s="911">
        <f t="shared" si="54"/>
        <v>541351.333333333</v>
      </c>
      <c r="I108" s="220">
        <f t="shared" si="55"/>
        <v>99546.416666666</v>
      </c>
      <c r="J108" s="916">
        <v>35344.3933333333</v>
      </c>
      <c r="K108" s="916">
        <f t="shared" si="56"/>
        <v>43308.1066666666</v>
      </c>
      <c r="L108" s="916">
        <f t="shared" si="57"/>
        <v>7963.71333333335</v>
      </c>
      <c r="M108" s="916"/>
      <c r="N108" s="916"/>
      <c r="O108" s="916">
        <f t="shared" si="58"/>
        <v>0</v>
      </c>
      <c r="P108" s="916">
        <f t="shared" si="59"/>
        <v>519697.28</v>
      </c>
      <c r="Q108" s="916"/>
    </row>
    <row r="109" customHeight="1" spans="1:17">
      <c r="A109" s="4">
        <v>5</v>
      </c>
      <c r="B109" s="11" t="s">
        <v>247</v>
      </c>
      <c r="C109" s="4" t="s">
        <v>248</v>
      </c>
      <c r="D109" s="15" t="s">
        <v>507</v>
      </c>
      <c r="E109" s="220">
        <v>255320.583333333</v>
      </c>
      <c r="F109" s="909">
        <v>213104.416666667</v>
      </c>
      <c r="G109" s="220">
        <v>116846</v>
      </c>
      <c r="H109" s="911">
        <f t="shared" si="54"/>
        <v>329950.416666667</v>
      </c>
      <c r="I109" s="220">
        <f t="shared" si="55"/>
        <v>74629.833333334</v>
      </c>
      <c r="J109" s="916">
        <v>19931.8733333333</v>
      </c>
      <c r="K109" s="916">
        <f t="shared" si="56"/>
        <v>26396.0333333334</v>
      </c>
      <c r="L109" s="916">
        <f t="shared" si="57"/>
        <v>6464.16000000006</v>
      </c>
      <c r="M109" s="916"/>
      <c r="N109" s="916"/>
      <c r="O109" s="916">
        <f t="shared" si="58"/>
        <v>0</v>
      </c>
      <c r="P109" s="916">
        <f t="shared" si="59"/>
        <v>316752.4</v>
      </c>
      <c r="Q109" s="916"/>
    </row>
    <row r="110" customHeight="1" spans="1:17">
      <c r="A110" s="4">
        <v>6</v>
      </c>
      <c r="B110" s="18" t="s">
        <v>250</v>
      </c>
      <c r="C110" s="4" t="s">
        <v>248</v>
      </c>
      <c r="D110" s="10" t="s">
        <v>344</v>
      </c>
      <c r="E110" s="220">
        <v>255849</v>
      </c>
      <c r="F110" s="909">
        <v>212792.166666667</v>
      </c>
      <c r="G110" s="220">
        <v>117614.916666667</v>
      </c>
      <c r="H110" s="911">
        <f t="shared" si="54"/>
        <v>330407.083333334</v>
      </c>
      <c r="I110" s="220">
        <f t="shared" si="55"/>
        <v>74558.083333334</v>
      </c>
      <c r="J110" s="916">
        <v>21053.2266666667</v>
      </c>
      <c r="K110" s="916">
        <f t="shared" si="56"/>
        <v>26432.5666666667</v>
      </c>
      <c r="L110" s="916">
        <f t="shared" si="57"/>
        <v>5379.34000000002</v>
      </c>
      <c r="M110" s="916"/>
      <c r="N110" s="916"/>
      <c r="O110" s="916">
        <f t="shared" si="58"/>
        <v>0</v>
      </c>
      <c r="P110" s="916">
        <f t="shared" si="59"/>
        <v>317190.800000001</v>
      </c>
      <c r="Q110" s="916"/>
    </row>
    <row r="111" customHeight="1" spans="1:17">
      <c r="A111" s="4">
        <v>7</v>
      </c>
      <c r="B111" s="18" t="s">
        <v>251</v>
      </c>
      <c r="C111" s="4" t="s">
        <v>248</v>
      </c>
      <c r="D111" s="15" t="s">
        <v>105</v>
      </c>
      <c r="E111" s="220">
        <v>236804.083333333</v>
      </c>
      <c r="F111" s="909">
        <v>200549.416666667</v>
      </c>
      <c r="G111" s="220">
        <v>108371.25</v>
      </c>
      <c r="H111" s="911">
        <f t="shared" si="54"/>
        <v>308920.666666667</v>
      </c>
      <c r="I111" s="220">
        <f t="shared" si="55"/>
        <v>72116.583333334</v>
      </c>
      <c r="J111" s="916">
        <v>18450.5533333333</v>
      </c>
      <c r="K111" s="916">
        <f t="shared" si="56"/>
        <v>24713.6533333334</v>
      </c>
      <c r="L111" s="916">
        <f t="shared" si="57"/>
        <v>6263.10000000006</v>
      </c>
      <c r="M111" s="916"/>
      <c r="N111" s="916"/>
      <c r="O111" s="916">
        <f t="shared" si="58"/>
        <v>0</v>
      </c>
      <c r="P111" s="916">
        <f t="shared" si="59"/>
        <v>296563.84</v>
      </c>
      <c r="Q111" s="916"/>
    </row>
    <row r="112" ht="25.5" customHeight="1" spans="1:17">
      <c r="A112" s="4"/>
      <c r="B112" s="20" t="s">
        <v>120</v>
      </c>
      <c r="C112" s="21">
        <v>7</v>
      </c>
      <c r="D112" s="4"/>
      <c r="E112" s="223">
        <f t="shared" ref="E112:Q112" si="60">SUM(E105:E111)</f>
        <v>3829676.66666667</v>
      </c>
      <c r="F112" s="918">
        <f t="shared" si="60"/>
        <v>2943354.25</v>
      </c>
      <c r="G112" s="223">
        <f t="shared" si="60"/>
        <v>1761039.75</v>
      </c>
      <c r="H112" s="223">
        <f t="shared" si="60"/>
        <v>4704394</v>
      </c>
      <c r="I112" s="223">
        <f t="shared" si="60"/>
        <v>874717.33333333</v>
      </c>
      <c r="J112" s="223">
        <f t="shared" si="60"/>
        <v>305971.893333333</v>
      </c>
      <c r="K112" s="223">
        <f t="shared" si="60"/>
        <v>376351.52</v>
      </c>
      <c r="L112" s="223">
        <f t="shared" si="60"/>
        <v>70379.6266666666</v>
      </c>
      <c r="M112" s="223">
        <f t="shared" si="60"/>
        <v>16248.0083333334</v>
      </c>
      <c r="N112" s="223">
        <f t="shared" si="60"/>
        <v>22310.0083333333</v>
      </c>
      <c r="O112" s="223">
        <f t="shared" si="60"/>
        <v>6061.99999999996</v>
      </c>
      <c r="P112" s="223">
        <f t="shared" si="60"/>
        <v>4516218.24</v>
      </c>
      <c r="Q112" s="223">
        <f t="shared" si="60"/>
        <v>267720.1</v>
      </c>
    </row>
    <row r="113" customHeight="1" spans="1:17">
      <c r="A113" s="4"/>
      <c r="B113" s="20"/>
      <c r="C113" s="21"/>
      <c r="D113" s="4"/>
      <c r="E113" s="223"/>
      <c r="F113" s="918"/>
      <c r="G113" s="223"/>
      <c r="H113" s="518"/>
      <c r="I113" s="220"/>
      <c r="J113" s="916"/>
      <c r="K113" s="916"/>
      <c r="L113" s="916"/>
      <c r="M113" s="916"/>
      <c r="N113" s="916"/>
      <c r="O113" s="916"/>
      <c r="P113" s="916"/>
      <c r="Q113" s="916"/>
    </row>
    <row r="114" customHeight="1" spans="1:17">
      <c r="A114" s="10"/>
      <c r="B114" s="20" t="s">
        <v>255</v>
      </c>
      <c r="C114" s="21"/>
      <c r="D114" s="21"/>
      <c r="E114" s="146"/>
      <c r="F114" s="913"/>
      <c r="G114" s="146"/>
      <c r="H114" s="220"/>
      <c r="I114" s="220"/>
      <c r="J114" s="916"/>
      <c r="K114" s="916"/>
      <c r="L114" s="916"/>
      <c r="M114" s="916"/>
      <c r="N114" s="916"/>
      <c r="O114" s="916"/>
      <c r="P114" s="916"/>
      <c r="Q114" s="916"/>
    </row>
    <row r="115" ht="18.75" customHeight="1" spans="1:17">
      <c r="A115" s="10">
        <v>1</v>
      </c>
      <c r="B115" s="11" t="s">
        <v>257</v>
      </c>
      <c r="C115" s="4" t="s">
        <v>258</v>
      </c>
      <c r="D115" s="15" t="s">
        <v>170</v>
      </c>
      <c r="E115" s="85">
        <v>390086.5</v>
      </c>
      <c r="F115" s="909">
        <v>302878.666666667</v>
      </c>
      <c r="G115" s="220">
        <v>179784</v>
      </c>
      <c r="H115" s="911">
        <f t="shared" ref="H115:H117" si="61">F115+G115</f>
        <v>482662.666666667</v>
      </c>
      <c r="I115" s="220">
        <f t="shared" ref="I115:I117" si="62">H115-E115</f>
        <v>92576.166666667</v>
      </c>
      <c r="J115" s="916">
        <v>30231.6133333333</v>
      </c>
      <c r="K115" s="916">
        <f t="shared" ref="K115:K117" si="63">H115*0.08</f>
        <v>38613.0133333334</v>
      </c>
      <c r="L115" s="916">
        <f t="shared" ref="L115:L117" si="64">K115-J115</f>
        <v>8381.40000000006</v>
      </c>
      <c r="M115" s="916"/>
      <c r="N115" s="916"/>
      <c r="O115" s="916">
        <f t="shared" ref="O115:O117" si="65">N115-M115</f>
        <v>0</v>
      </c>
      <c r="P115" s="916">
        <f t="shared" ref="P115:P117" si="66">12*K115</f>
        <v>463356.16</v>
      </c>
      <c r="Q115" s="916"/>
    </row>
    <row r="116" ht="18.75" customHeight="1" spans="1:17">
      <c r="A116" s="10">
        <v>2</v>
      </c>
      <c r="B116" s="11" t="s">
        <v>260</v>
      </c>
      <c r="C116" s="4" t="s">
        <v>71</v>
      </c>
      <c r="D116" s="15" t="s">
        <v>69</v>
      </c>
      <c r="E116" s="85">
        <v>377895.166666667</v>
      </c>
      <c r="F116" s="909">
        <v>294662.916666667</v>
      </c>
      <c r="G116" s="220">
        <v>174165.25</v>
      </c>
      <c r="H116" s="911">
        <f t="shared" si="61"/>
        <v>468828.166666667</v>
      </c>
      <c r="I116" s="220">
        <f t="shared" si="62"/>
        <v>90933</v>
      </c>
      <c r="J116" s="916">
        <v>30231.6133333333</v>
      </c>
      <c r="K116" s="916">
        <f t="shared" si="63"/>
        <v>37506.2533333334</v>
      </c>
      <c r="L116" s="916">
        <f t="shared" si="64"/>
        <v>7274.64000000006</v>
      </c>
      <c r="M116" s="916"/>
      <c r="N116" s="916"/>
      <c r="O116" s="916">
        <f t="shared" si="65"/>
        <v>0</v>
      </c>
      <c r="P116" s="916">
        <f t="shared" si="66"/>
        <v>450075.04</v>
      </c>
      <c r="Q116" s="916"/>
    </row>
    <row r="117" customHeight="1" spans="1:17">
      <c r="A117" s="10">
        <v>3</v>
      </c>
      <c r="B117" s="11" t="s">
        <v>190</v>
      </c>
      <c r="C117" s="12" t="s">
        <v>191</v>
      </c>
      <c r="D117" s="15" t="s">
        <v>66</v>
      </c>
      <c r="E117" s="85">
        <v>390248.916666667</v>
      </c>
      <c r="F117" s="909">
        <v>302987.416666667</v>
      </c>
      <c r="G117" s="220">
        <v>179859.166666667</v>
      </c>
      <c r="H117" s="911">
        <f t="shared" si="61"/>
        <v>482846.583333334</v>
      </c>
      <c r="I117" s="220">
        <f t="shared" si="62"/>
        <v>92597.666666667</v>
      </c>
      <c r="J117" s="916">
        <v>31219.91</v>
      </c>
      <c r="K117" s="916">
        <f t="shared" si="63"/>
        <v>38627.7266666667</v>
      </c>
      <c r="L117" s="916">
        <f t="shared" si="64"/>
        <v>7407.81666666672</v>
      </c>
      <c r="M117" s="916">
        <v>5967.30625</v>
      </c>
      <c r="N117" s="916">
        <f>0.025*F117</f>
        <v>7574.68541666667</v>
      </c>
      <c r="O117" s="916">
        <f t="shared" si="65"/>
        <v>1607.37916666667</v>
      </c>
      <c r="P117" s="916">
        <f t="shared" si="66"/>
        <v>463532.720000001</v>
      </c>
      <c r="Q117" s="916">
        <f>N117*12</f>
        <v>90896.2250000001</v>
      </c>
    </row>
    <row r="118" ht="24.75" customHeight="1" spans="1:17">
      <c r="A118" s="4"/>
      <c r="B118" s="20" t="s">
        <v>120</v>
      </c>
      <c r="C118" s="21">
        <v>3</v>
      </c>
      <c r="D118" s="26"/>
      <c r="E118" s="93">
        <f t="shared" ref="E118:Q118" si="67">SUM(E115:E117)</f>
        <v>1158230.58333333</v>
      </c>
      <c r="F118" s="912">
        <f t="shared" si="67"/>
        <v>900529.000000001</v>
      </c>
      <c r="G118" s="93">
        <f t="shared" si="67"/>
        <v>533808.416666667</v>
      </c>
      <c r="H118" s="93">
        <f t="shared" si="67"/>
        <v>1434337.41666667</v>
      </c>
      <c r="I118" s="93">
        <f t="shared" si="67"/>
        <v>276106.833333334</v>
      </c>
      <c r="J118" s="93">
        <f t="shared" si="67"/>
        <v>91683.1366666666</v>
      </c>
      <c r="K118" s="93">
        <f t="shared" si="67"/>
        <v>114746.993333333</v>
      </c>
      <c r="L118" s="93">
        <f t="shared" si="67"/>
        <v>23063.8566666668</v>
      </c>
      <c r="M118" s="93">
        <f t="shared" si="67"/>
        <v>5967.30625</v>
      </c>
      <c r="N118" s="93">
        <f t="shared" si="67"/>
        <v>7574.68541666667</v>
      </c>
      <c r="O118" s="93">
        <f t="shared" si="67"/>
        <v>1607.37916666667</v>
      </c>
      <c r="P118" s="93">
        <f t="shared" si="67"/>
        <v>1376963.92</v>
      </c>
      <c r="Q118" s="93">
        <f t="shared" si="67"/>
        <v>90896.2250000001</v>
      </c>
    </row>
    <row r="119" ht="24.75" customHeight="1" spans="1:17">
      <c r="A119" s="4"/>
      <c r="B119" s="20"/>
      <c r="C119" s="21"/>
      <c r="D119" s="26"/>
      <c r="E119" s="93"/>
      <c r="F119" s="912"/>
      <c r="G119" s="93"/>
      <c r="H119" s="93"/>
      <c r="I119" s="220"/>
      <c r="J119" s="916"/>
      <c r="K119" s="916"/>
      <c r="L119" s="916"/>
      <c r="M119" s="916"/>
      <c r="N119" s="916"/>
      <c r="O119" s="916"/>
      <c r="P119" s="916"/>
      <c r="Q119" s="916"/>
    </row>
    <row r="120" ht="24.75" customHeight="1" spans="1:17">
      <c r="A120" s="10"/>
      <c r="B120" s="20" t="s">
        <v>267</v>
      </c>
      <c r="C120" s="21"/>
      <c r="D120" s="21"/>
      <c r="E120" s="146"/>
      <c r="F120" s="913"/>
      <c r="G120" s="146"/>
      <c r="H120" s="220"/>
      <c r="I120" s="220"/>
      <c r="J120" s="916"/>
      <c r="K120" s="916"/>
      <c r="L120" s="916"/>
      <c r="M120" s="916"/>
      <c r="N120" s="916"/>
      <c r="O120" s="916"/>
      <c r="P120" s="916"/>
      <c r="Q120" s="916"/>
    </row>
    <row r="121" ht="24.75" customHeight="1" spans="1:17">
      <c r="A121" s="10">
        <v>2</v>
      </c>
      <c r="B121" s="11" t="s">
        <v>272</v>
      </c>
      <c r="C121" s="4" t="s">
        <v>273</v>
      </c>
      <c r="D121" s="10" t="s">
        <v>276</v>
      </c>
      <c r="E121" s="85">
        <v>218287.583333333</v>
      </c>
      <c r="F121" s="909">
        <v>187994.416666667</v>
      </c>
      <c r="G121" s="220">
        <v>99896.5</v>
      </c>
      <c r="H121" s="911">
        <f t="shared" ref="H121:H135" si="68">F121+G121</f>
        <v>287890.916666667</v>
      </c>
      <c r="I121" s="220">
        <f t="shared" ref="I121:I135" si="69">H121-E121</f>
        <v>69603.333333334</v>
      </c>
      <c r="J121" s="916">
        <v>17463.0066666666</v>
      </c>
      <c r="K121" s="916">
        <f t="shared" ref="K121:K135" si="70">H121*0.08</f>
        <v>23031.2733333334</v>
      </c>
      <c r="L121" s="916">
        <f t="shared" ref="L121:L135" si="71">K121-J121</f>
        <v>5568.26666666676</v>
      </c>
      <c r="M121" s="916"/>
      <c r="N121" s="916"/>
      <c r="O121" s="916">
        <f t="shared" ref="O121:O135" si="72">N121-M121</f>
        <v>0</v>
      </c>
      <c r="P121" s="916">
        <f t="shared" ref="P121:P135" si="73">12*K121</f>
        <v>276375.28</v>
      </c>
      <c r="Q121" s="916"/>
    </row>
    <row r="122" ht="24.75" customHeight="1" spans="1:17">
      <c r="A122" s="10">
        <v>3</v>
      </c>
      <c r="B122" s="11" t="s">
        <v>277</v>
      </c>
      <c r="C122" s="4" t="s">
        <v>278</v>
      </c>
      <c r="D122" s="10" t="s">
        <v>276</v>
      </c>
      <c r="E122" s="85">
        <v>218287.583333333</v>
      </c>
      <c r="F122" s="909">
        <v>187994.416666667</v>
      </c>
      <c r="G122" s="220">
        <v>99896.5</v>
      </c>
      <c r="H122" s="911">
        <f t="shared" si="68"/>
        <v>287890.916666667</v>
      </c>
      <c r="I122" s="220">
        <f t="shared" si="69"/>
        <v>69603.333333334</v>
      </c>
      <c r="J122" s="916">
        <v>17463.0066666666</v>
      </c>
      <c r="K122" s="916">
        <f t="shared" si="70"/>
        <v>23031.2733333334</v>
      </c>
      <c r="L122" s="916">
        <f t="shared" si="71"/>
        <v>5568.26666666676</v>
      </c>
      <c r="M122" s="916"/>
      <c r="N122" s="916"/>
      <c r="O122" s="916">
        <f t="shared" si="72"/>
        <v>0</v>
      </c>
      <c r="P122" s="916">
        <f t="shared" si="73"/>
        <v>276375.28</v>
      </c>
      <c r="Q122" s="916"/>
    </row>
    <row r="123" customHeight="1" spans="1:17">
      <c r="A123" s="4"/>
      <c r="B123" s="20" t="s">
        <v>120</v>
      </c>
      <c r="C123" s="21">
        <v>3</v>
      </c>
      <c r="D123" s="26"/>
      <c r="E123" s="93">
        <f t="shared" ref="E123:Q123" si="74">SUM(E121:E122)</f>
        <v>436575.166666666</v>
      </c>
      <c r="F123" s="912">
        <f t="shared" si="74"/>
        <v>375988.833333334</v>
      </c>
      <c r="G123" s="93">
        <f t="shared" si="74"/>
        <v>199793</v>
      </c>
      <c r="H123" s="93">
        <f t="shared" si="74"/>
        <v>575781.833333334</v>
      </c>
      <c r="I123" s="93">
        <f t="shared" si="74"/>
        <v>139206.666666668</v>
      </c>
      <c r="J123" s="93">
        <f t="shared" si="74"/>
        <v>34926.0133333332</v>
      </c>
      <c r="K123" s="93">
        <f t="shared" si="74"/>
        <v>46062.5466666667</v>
      </c>
      <c r="L123" s="93">
        <f t="shared" si="74"/>
        <v>11136.5333333335</v>
      </c>
      <c r="M123" s="93">
        <f t="shared" si="74"/>
        <v>0</v>
      </c>
      <c r="N123" s="93">
        <f t="shared" si="74"/>
        <v>0</v>
      </c>
      <c r="O123" s="93">
        <f t="shared" si="74"/>
        <v>0</v>
      </c>
      <c r="P123" s="93">
        <f t="shared" si="74"/>
        <v>552750.560000001</v>
      </c>
      <c r="Q123" s="93">
        <f t="shared" si="74"/>
        <v>0</v>
      </c>
    </row>
    <row r="124" customHeight="1" spans="1:17">
      <c r="A124" s="4"/>
      <c r="B124" s="20"/>
      <c r="C124" s="21"/>
      <c r="D124" s="26"/>
      <c r="E124" s="93"/>
      <c r="F124" s="912"/>
      <c r="G124" s="93"/>
      <c r="H124" s="93"/>
      <c r="I124" s="220"/>
      <c r="J124" s="916"/>
      <c r="K124" s="916"/>
      <c r="L124" s="916"/>
      <c r="M124" s="916"/>
      <c r="N124" s="916"/>
      <c r="O124" s="916"/>
      <c r="P124" s="916"/>
      <c r="Q124" s="916"/>
    </row>
    <row r="125" customHeight="1" spans="1:17">
      <c r="A125" s="4"/>
      <c r="B125" s="20" t="s">
        <v>279</v>
      </c>
      <c r="C125" s="21"/>
      <c r="D125" s="21"/>
      <c r="E125" s="146"/>
      <c r="F125" s="913"/>
      <c r="G125" s="146"/>
      <c r="H125" s="220"/>
      <c r="I125" s="220"/>
      <c r="J125" s="916"/>
      <c r="K125" s="916"/>
      <c r="L125" s="916"/>
      <c r="M125" s="916"/>
      <c r="N125" s="916"/>
      <c r="O125" s="916"/>
      <c r="P125" s="916"/>
      <c r="Q125" s="916"/>
    </row>
    <row r="126" customHeight="1" spans="1:17">
      <c r="A126" s="4">
        <v>1</v>
      </c>
      <c r="B126" s="11" t="s">
        <v>280</v>
      </c>
      <c r="C126" s="12" t="s">
        <v>281</v>
      </c>
      <c r="D126" s="15" t="s">
        <v>124</v>
      </c>
      <c r="E126" s="85">
        <v>1435720</v>
      </c>
      <c r="F126" s="909">
        <v>1086777.08333333</v>
      </c>
      <c r="G126" s="220">
        <v>660329.333333333</v>
      </c>
      <c r="H126" s="911">
        <f t="shared" si="68"/>
        <v>1747106.41666666</v>
      </c>
      <c r="I126" s="220">
        <f t="shared" si="69"/>
        <v>311386.416666663</v>
      </c>
      <c r="J126" s="916">
        <v>114857.6</v>
      </c>
      <c r="K126" s="916">
        <f t="shared" si="70"/>
        <v>139768.513333333</v>
      </c>
      <c r="L126" s="916">
        <f t="shared" si="71"/>
        <v>24910.913333333</v>
      </c>
      <c r="M126" s="916">
        <v>19384.7666666667</v>
      </c>
      <c r="N126" s="916">
        <f t="shared" ref="N126:N128" si="75">0.025*F126</f>
        <v>27169.4270833333</v>
      </c>
      <c r="O126" s="916">
        <f t="shared" si="72"/>
        <v>7784.66041666655</v>
      </c>
      <c r="P126" s="916">
        <f t="shared" si="73"/>
        <v>1677222.16</v>
      </c>
      <c r="Q126" s="916">
        <f t="shared" ref="Q126:Q135" si="76">N126*12</f>
        <v>326033.124999999</v>
      </c>
    </row>
    <row r="127" customHeight="1" spans="1:17">
      <c r="A127" s="4">
        <v>2</v>
      </c>
      <c r="B127" s="11" t="s">
        <v>282</v>
      </c>
      <c r="C127" s="12" t="s">
        <v>558</v>
      </c>
      <c r="D127" s="15" t="s">
        <v>35</v>
      </c>
      <c r="E127" s="85">
        <v>762373.166666667</v>
      </c>
      <c r="F127" s="909">
        <v>554669.5</v>
      </c>
      <c r="G127" s="220">
        <v>350637.25</v>
      </c>
      <c r="H127" s="911">
        <f t="shared" si="68"/>
        <v>905306.75</v>
      </c>
      <c r="I127" s="220">
        <f t="shared" si="69"/>
        <v>142933.583333333</v>
      </c>
      <c r="J127" s="916">
        <v>59136.2866666667</v>
      </c>
      <c r="K127" s="916">
        <f t="shared" si="70"/>
        <v>72424.54</v>
      </c>
      <c r="L127" s="916">
        <f t="shared" si="71"/>
        <v>13288.2533333333</v>
      </c>
      <c r="M127" s="916">
        <v>9980.56666666667</v>
      </c>
      <c r="N127" s="916">
        <f t="shared" si="75"/>
        <v>13866.7375</v>
      </c>
      <c r="O127" s="916">
        <f t="shared" si="72"/>
        <v>3886.17083333333</v>
      </c>
      <c r="P127" s="916">
        <f t="shared" si="73"/>
        <v>869094.48</v>
      </c>
      <c r="Q127" s="916">
        <f t="shared" si="76"/>
        <v>166400.85</v>
      </c>
    </row>
    <row r="128" customHeight="1" spans="1:17">
      <c r="A128" s="4">
        <v>3</v>
      </c>
      <c r="B128" s="14" t="s">
        <v>284</v>
      </c>
      <c r="C128" s="12" t="s">
        <v>559</v>
      </c>
      <c r="D128" s="15" t="s">
        <v>506</v>
      </c>
      <c r="E128" s="85">
        <v>716034</v>
      </c>
      <c r="F128" s="909">
        <v>523386.5</v>
      </c>
      <c r="G128" s="220">
        <v>329324.583333333</v>
      </c>
      <c r="H128" s="911">
        <f t="shared" si="68"/>
        <v>852711.083333333</v>
      </c>
      <c r="I128" s="220">
        <f t="shared" si="69"/>
        <v>136677.083333333</v>
      </c>
      <c r="J128" s="916">
        <v>59136.2866666667</v>
      </c>
      <c r="K128" s="916">
        <f t="shared" si="70"/>
        <v>68216.8866666666</v>
      </c>
      <c r="L128" s="916">
        <f t="shared" si="71"/>
        <v>9080.59999999994</v>
      </c>
      <c r="M128" s="916">
        <v>9980.56666666667</v>
      </c>
      <c r="N128" s="916">
        <f t="shared" si="75"/>
        <v>13084.6625</v>
      </c>
      <c r="O128" s="916">
        <f t="shared" si="72"/>
        <v>3104.09583333333</v>
      </c>
      <c r="P128" s="916">
        <f t="shared" si="73"/>
        <v>818602.64</v>
      </c>
      <c r="Q128" s="916">
        <f t="shared" si="76"/>
        <v>157015.95</v>
      </c>
    </row>
    <row r="129" customHeight="1" spans="1:17">
      <c r="A129" s="4">
        <v>4</v>
      </c>
      <c r="B129" s="11" t="s">
        <v>287</v>
      </c>
      <c r="C129" s="12" t="s">
        <v>289</v>
      </c>
      <c r="D129" s="15" t="s">
        <v>189</v>
      </c>
      <c r="E129" s="85">
        <v>484373.75</v>
      </c>
      <c r="F129" s="909">
        <v>366417.5</v>
      </c>
      <c r="G129" s="220">
        <v>223239.5</v>
      </c>
      <c r="H129" s="911">
        <f t="shared" si="68"/>
        <v>589657</v>
      </c>
      <c r="I129" s="220">
        <f t="shared" si="69"/>
        <v>105283.25</v>
      </c>
      <c r="J129" s="916">
        <v>37639.84</v>
      </c>
      <c r="K129" s="916">
        <f t="shared" si="70"/>
        <v>47172.56</v>
      </c>
      <c r="L129" s="916">
        <f t="shared" si="71"/>
        <v>9532.72</v>
      </c>
      <c r="M129" s="916">
        <v>0</v>
      </c>
      <c r="N129" s="916"/>
      <c r="O129" s="916">
        <f t="shared" si="72"/>
        <v>0</v>
      </c>
      <c r="P129" s="916">
        <f t="shared" si="73"/>
        <v>566070.72</v>
      </c>
      <c r="Q129" s="916">
        <f t="shared" si="76"/>
        <v>0</v>
      </c>
    </row>
    <row r="130" customHeight="1" spans="1:17">
      <c r="A130" s="4">
        <v>5</v>
      </c>
      <c r="B130" s="11" t="s">
        <v>288</v>
      </c>
      <c r="C130" s="12" t="s">
        <v>560</v>
      </c>
      <c r="D130" s="15" t="s">
        <v>212</v>
      </c>
      <c r="E130" s="85">
        <v>456622.25</v>
      </c>
      <c r="F130" s="909">
        <v>347715.916666667</v>
      </c>
      <c r="G130" s="220">
        <v>210449.333333333</v>
      </c>
      <c r="H130" s="911">
        <f t="shared" si="68"/>
        <v>558165.25</v>
      </c>
      <c r="I130" s="220">
        <f t="shared" si="69"/>
        <v>101543</v>
      </c>
      <c r="J130" s="916">
        <v>35419.72</v>
      </c>
      <c r="K130" s="916">
        <f t="shared" si="70"/>
        <v>44653.22</v>
      </c>
      <c r="L130" s="916">
        <f t="shared" si="71"/>
        <v>9233.5</v>
      </c>
      <c r="M130" s="916">
        <v>5967.30625</v>
      </c>
      <c r="N130" s="916">
        <f>0.025*F130</f>
        <v>8692.89791666667</v>
      </c>
      <c r="O130" s="916">
        <f t="shared" si="72"/>
        <v>2725.59166666667</v>
      </c>
      <c r="P130" s="916">
        <f t="shared" si="73"/>
        <v>535838.64</v>
      </c>
      <c r="Q130" s="916">
        <f t="shared" si="76"/>
        <v>104314.775</v>
      </c>
    </row>
    <row r="131" customHeight="1" spans="1:17">
      <c r="A131" s="4">
        <v>6</v>
      </c>
      <c r="B131" s="11" t="s">
        <v>290</v>
      </c>
      <c r="C131" s="12" t="s">
        <v>289</v>
      </c>
      <c r="D131" s="15" t="s">
        <v>46</v>
      </c>
      <c r="E131" s="85">
        <v>470498</v>
      </c>
      <c r="F131" s="909">
        <v>357066.666666667</v>
      </c>
      <c r="G131" s="220">
        <v>216844.416666667</v>
      </c>
      <c r="H131" s="911">
        <f t="shared" si="68"/>
        <v>573911.083333334</v>
      </c>
      <c r="I131" s="220">
        <f t="shared" si="69"/>
        <v>103413.083333334</v>
      </c>
      <c r="J131" s="916">
        <v>36529.78</v>
      </c>
      <c r="K131" s="916">
        <f t="shared" si="70"/>
        <v>45912.8866666667</v>
      </c>
      <c r="L131" s="916">
        <f t="shared" si="71"/>
        <v>9383.10666666672</v>
      </c>
      <c r="M131" s="916">
        <v>6154.32291666667</v>
      </c>
      <c r="N131" s="916">
        <f>0.025*F131</f>
        <v>8926.66666666668</v>
      </c>
      <c r="O131" s="916">
        <f t="shared" si="72"/>
        <v>2772.34375000001</v>
      </c>
      <c r="P131" s="916">
        <f t="shared" si="73"/>
        <v>550954.640000001</v>
      </c>
      <c r="Q131" s="916">
        <f t="shared" si="76"/>
        <v>107120</v>
      </c>
    </row>
    <row r="132" customHeight="1" spans="1:17">
      <c r="A132" s="4">
        <v>7</v>
      </c>
      <c r="B132" s="11" t="s">
        <v>293</v>
      </c>
      <c r="C132" s="12" t="s">
        <v>561</v>
      </c>
      <c r="D132" s="10" t="s">
        <v>85</v>
      </c>
      <c r="E132" s="85">
        <v>277798</v>
      </c>
      <c r="F132" s="909">
        <v>227615.75</v>
      </c>
      <c r="G132" s="220">
        <v>127704.916666667</v>
      </c>
      <c r="H132" s="911">
        <f t="shared" si="68"/>
        <v>355320.666666667</v>
      </c>
      <c r="I132" s="220">
        <f t="shared" si="69"/>
        <v>77522.666666667</v>
      </c>
      <c r="J132" s="916">
        <v>21638.5333333333</v>
      </c>
      <c r="K132" s="916">
        <f t="shared" si="70"/>
        <v>28425.6533333334</v>
      </c>
      <c r="L132" s="916">
        <f t="shared" si="71"/>
        <v>6787.12000000006</v>
      </c>
      <c r="M132" s="916"/>
      <c r="N132" s="916"/>
      <c r="O132" s="916">
        <f t="shared" si="72"/>
        <v>0</v>
      </c>
      <c r="P132" s="916">
        <f t="shared" si="73"/>
        <v>341107.84</v>
      </c>
      <c r="Q132" s="916">
        <f t="shared" si="76"/>
        <v>0</v>
      </c>
    </row>
    <row r="133" customHeight="1" spans="1:17">
      <c r="A133" s="4">
        <v>8</v>
      </c>
      <c r="B133" s="18" t="s">
        <v>295</v>
      </c>
      <c r="C133" s="12" t="s">
        <v>296</v>
      </c>
      <c r="D133" s="15" t="s">
        <v>108</v>
      </c>
      <c r="E133" s="85">
        <v>230631.916666667</v>
      </c>
      <c r="F133" s="909">
        <v>196364.416666667</v>
      </c>
      <c r="G133" s="220">
        <v>105546.333333333</v>
      </c>
      <c r="H133" s="911">
        <f t="shared" si="68"/>
        <v>301910.75</v>
      </c>
      <c r="I133" s="220">
        <f t="shared" si="69"/>
        <v>71278.833333333</v>
      </c>
      <c r="J133" s="916">
        <v>17956.78</v>
      </c>
      <c r="K133" s="916">
        <f t="shared" si="70"/>
        <v>24152.86</v>
      </c>
      <c r="L133" s="916">
        <f t="shared" si="71"/>
        <v>6196.08</v>
      </c>
      <c r="M133" s="916">
        <v>0</v>
      </c>
      <c r="N133" s="916"/>
      <c r="O133" s="916">
        <f t="shared" si="72"/>
        <v>0</v>
      </c>
      <c r="P133" s="916">
        <f t="shared" si="73"/>
        <v>289834.32</v>
      </c>
      <c r="Q133" s="916">
        <f t="shared" si="76"/>
        <v>0</v>
      </c>
    </row>
    <row r="134" customHeight="1" spans="1:17">
      <c r="A134" s="4">
        <v>9</v>
      </c>
      <c r="B134" s="18" t="s">
        <v>297</v>
      </c>
      <c r="C134" s="12" t="s">
        <v>292</v>
      </c>
      <c r="D134" s="15" t="s">
        <v>108</v>
      </c>
      <c r="E134" s="85">
        <v>230631.916666667</v>
      </c>
      <c r="F134" s="909">
        <v>196364.416666667</v>
      </c>
      <c r="G134" s="220">
        <v>105546.333333333</v>
      </c>
      <c r="H134" s="911">
        <f t="shared" si="68"/>
        <v>301910.75</v>
      </c>
      <c r="I134" s="220">
        <f t="shared" si="69"/>
        <v>71278.833333333</v>
      </c>
      <c r="J134" s="916">
        <v>17956.78</v>
      </c>
      <c r="K134" s="916">
        <f t="shared" si="70"/>
        <v>24152.86</v>
      </c>
      <c r="L134" s="916">
        <f t="shared" si="71"/>
        <v>6196.08</v>
      </c>
      <c r="M134" s="916">
        <v>0</v>
      </c>
      <c r="N134" s="916"/>
      <c r="O134" s="916">
        <f t="shared" si="72"/>
        <v>0</v>
      </c>
      <c r="P134" s="916">
        <f t="shared" si="73"/>
        <v>289834.32</v>
      </c>
      <c r="Q134" s="916">
        <f t="shared" si="76"/>
        <v>0</v>
      </c>
    </row>
    <row r="135" customHeight="1" spans="1:17">
      <c r="A135" s="4">
        <v>10</v>
      </c>
      <c r="B135" s="18" t="s">
        <v>298</v>
      </c>
      <c r="C135" s="12" t="s">
        <v>296</v>
      </c>
      <c r="D135" s="15" t="s">
        <v>111</v>
      </c>
      <c r="E135" s="85">
        <v>224459.75</v>
      </c>
      <c r="F135" s="909">
        <v>192179.416666667</v>
      </c>
      <c r="G135" s="919">
        <v>102721.416666667</v>
      </c>
      <c r="H135" s="920">
        <f t="shared" si="68"/>
        <v>294900.833333334</v>
      </c>
      <c r="I135" s="919">
        <f t="shared" si="69"/>
        <v>70441.083333334</v>
      </c>
      <c r="J135" s="922">
        <v>17463.0066666666</v>
      </c>
      <c r="K135" s="916">
        <f t="shared" si="70"/>
        <v>23592.0666666667</v>
      </c>
      <c r="L135" s="916">
        <f t="shared" si="71"/>
        <v>6129.06000000012</v>
      </c>
      <c r="M135" s="916"/>
      <c r="N135" s="916"/>
      <c r="O135" s="916">
        <f t="shared" si="72"/>
        <v>0</v>
      </c>
      <c r="P135" s="916">
        <f t="shared" si="73"/>
        <v>283104.800000001</v>
      </c>
      <c r="Q135" s="916">
        <f t="shared" si="76"/>
        <v>0</v>
      </c>
    </row>
    <row r="136" ht="28.5" customHeight="1" spans="1:17">
      <c r="A136" s="4"/>
      <c r="B136" s="20" t="s">
        <v>120</v>
      </c>
      <c r="C136" s="26" t="s">
        <v>562</v>
      </c>
      <c r="D136" s="15"/>
      <c r="E136" s="146">
        <f t="shared" ref="E136:Q136" si="77">SUM(E126:E135)</f>
        <v>5289142.75</v>
      </c>
      <c r="F136" s="913">
        <f t="shared" si="77"/>
        <v>4048557.16666667</v>
      </c>
      <c r="G136" s="221">
        <f t="shared" si="77"/>
        <v>2432343.41666667</v>
      </c>
      <c r="H136" s="221">
        <f t="shared" si="77"/>
        <v>6480900.58333333</v>
      </c>
      <c r="I136" s="221">
        <f t="shared" si="77"/>
        <v>1191757.83333333</v>
      </c>
      <c r="J136" s="221">
        <f t="shared" si="77"/>
        <v>417734.613333333</v>
      </c>
      <c r="K136" s="221">
        <f t="shared" si="77"/>
        <v>518472.046666667</v>
      </c>
      <c r="L136" s="221">
        <f t="shared" si="77"/>
        <v>100737.433333333</v>
      </c>
      <c r="M136" s="221">
        <f t="shared" si="77"/>
        <v>51467.5291666667</v>
      </c>
      <c r="N136" s="221">
        <f t="shared" si="77"/>
        <v>71740.3916666666</v>
      </c>
      <c r="O136" s="221">
        <f t="shared" si="77"/>
        <v>20272.8624999999</v>
      </c>
      <c r="P136" s="221">
        <f t="shared" si="77"/>
        <v>6221664.56</v>
      </c>
      <c r="Q136" s="221">
        <f t="shared" si="77"/>
        <v>860884.699999999</v>
      </c>
    </row>
    <row r="137" customHeight="1" spans="1:17">
      <c r="A137" s="4"/>
      <c r="B137" s="22"/>
      <c r="C137" s="26"/>
      <c r="D137" s="15"/>
      <c r="E137" s="146"/>
      <c r="F137" s="913"/>
      <c r="G137" s="146"/>
      <c r="H137" s="220"/>
      <c r="I137" s="220"/>
      <c r="J137" s="916"/>
      <c r="K137" s="916"/>
      <c r="L137" s="916"/>
      <c r="M137" s="916"/>
      <c r="N137" s="916"/>
      <c r="O137" s="916"/>
      <c r="P137" s="916"/>
      <c r="Q137" s="916"/>
    </row>
    <row r="138" customHeight="1" spans="1:17">
      <c r="A138" s="4"/>
      <c r="B138" s="20" t="s">
        <v>300</v>
      </c>
      <c r="C138" s="12"/>
      <c r="D138" s="15"/>
      <c r="E138" s="85"/>
      <c r="F138" s="909"/>
      <c r="G138" s="85"/>
      <c r="H138" s="220"/>
      <c r="I138" s="220"/>
      <c r="J138" s="916"/>
      <c r="K138" s="916"/>
      <c r="L138" s="916"/>
      <c r="M138" s="916"/>
      <c r="N138" s="916"/>
      <c r="O138" s="916"/>
      <c r="P138" s="916"/>
      <c r="Q138" s="916"/>
    </row>
    <row r="139" customHeight="1" spans="1:17">
      <c r="A139" s="27">
        <v>1</v>
      </c>
      <c r="B139" s="14" t="s">
        <v>301</v>
      </c>
      <c r="C139" s="4" t="s">
        <v>302</v>
      </c>
      <c r="D139" s="10" t="s">
        <v>508</v>
      </c>
      <c r="E139" s="85">
        <f>'[3]Annual &amp; Monthly'!$H$44</f>
        <v>1352042.66666667</v>
      </c>
      <c r="F139" s="909">
        <v>1025768.33333333</v>
      </c>
      <c r="G139" s="85">
        <v>621843.666666667</v>
      </c>
      <c r="H139" s="220">
        <f t="shared" ref="H139:H198" si="78">F139+G139</f>
        <v>1647612</v>
      </c>
      <c r="I139" s="220">
        <f t="shared" ref="I139:I198" si="79">H139-E139</f>
        <v>295569.33333333</v>
      </c>
      <c r="J139" s="916">
        <v>114857.6</v>
      </c>
      <c r="K139" s="916">
        <f t="shared" ref="K139:K198" si="80">H139*0.08</f>
        <v>131808.96</v>
      </c>
      <c r="L139" s="916">
        <f t="shared" ref="L139:L198" si="81">K139-J139</f>
        <v>16951.3599999998</v>
      </c>
      <c r="M139" s="916">
        <v>18254.975</v>
      </c>
      <c r="N139" s="916">
        <f t="shared" ref="N139:N143" si="82">0.025*F139</f>
        <v>25644.2083333333</v>
      </c>
      <c r="O139" s="916">
        <f t="shared" ref="O139:O198" si="83">N139-M139</f>
        <v>7389.23333333325</v>
      </c>
      <c r="P139" s="916">
        <f t="shared" ref="P139:P198" si="84">12*K139</f>
        <v>1581707.52</v>
      </c>
      <c r="Q139" s="916">
        <f t="shared" ref="Q139:Q198" si="85">N139*12</f>
        <v>307730.499999999</v>
      </c>
    </row>
    <row r="140" customHeight="1" spans="1:17">
      <c r="A140" s="27">
        <v>2</v>
      </c>
      <c r="B140" s="14" t="s">
        <v>304</v>
      </c>
      <c r="C140" s="4" t="s">
        <v>305</v>
      </c>
      <c r="D140" s="16" t="s">
        <v>35</v>
      </c>
      <c r="E140" s="85">
        <v>762373.166666667</v>
      </c>
      <c r="F140" s="909">
        <v>554669.5</v>
      </c>
      <c r="G140" s="220">
        <v>350637.25</v>
      </c>
      <c r="H140" s="220">
        <f t="shared" si="78"/>
        <v>905306.75</v>
      </c>
      <c r="I140" s="220">
        <f t="shared" si="79"/>
        <v>142933.583333333</v>
      </c>
      <c r="J140" s="916">
        <v>60989.8533333333</v>
      </c>
      <c r="K140" s="916">
        <f t="shared" si="80"/>
        <v>72424.54</v>
      </c>
      <c r="L140" s="916">
        <f t="shared" si="81"/>
        <v>11434.6866666667</v>
      </c>
      <c r="M140" s="916">
        <v>10293.3979166667</v>
      </c>
      <c r="N140" s="916">
        <f t="shared" si="82"/>
        <v>13866.7375</v>
      </c>
      <c r="O140" s="916">
        <f t="shared" si="83"/>
        <v>3573.3395833333</v>
      </c>
      <c r="P140" s="916">
        <f t="shared" si="84"/>
        <v>869094.48</v>
      </c>
      <c r="Q140" s="916">
        <f t="shared" si="85"/>
        <v>166400.85</v>
      </c>
    </row>
    <row r="141" customHeight="1" spans="1:17">
      <c r="A141" s="27">
        <v>3</v>
      </c>
      <c r="B141" s="11" t="s">
        <v>306</v>
      </c>
      <c r="C141" s="12" t="s">
        <v>307</v>
      </c>
      <c r="D141" s="15" t="s">
        <v>41</v>
      </c>
      <c r="E141" s="85">
        <v>582118.083333333</v>
      </c>
      <c r="F141" s="909">
        <v>432981.083333333</v>
      </c>
      <c r="G141" s="220">
        <v>267732.833333333</v>
      </c>
      <c r="H141" s="220">
        <f t="shared" si="78"/>
        <v>700713.916666666</v>
      </c>
      <c r="I141" s="220">
        <f t="shared" si="79"/>
        <v>118595.833333333</v>
      </c>
      <c r="J141" s="916">
        <v>46569.45</v>
      </c>
      <c r="K141" s="916">
        <f t="shared" si="80"/>
        <v>56057.1133333333</v>
      </c>
      <c r="L141" s="916">
        <f t="shared" si="81"/>
        <v>9487.66333333329</v>
      </c>
      <c r="M141" s="916">
        <v>8380.22708333333</v>
      </c>
      <c r="N141" s="916">
        <f t="shared" si="82"/>
        <v>10824.5270833333</v>
      </c>
      <c r="O141" s="916">
        <f t="shared" si="83"/>
        <v>2444.3</v>
      </c>
      <c r="P141" s="916">
        <f t="shared" si="84"/>
        <v>672685.359999999</v>
      </c>
      <c r="Q141" s="916">
        <f t="shared" si="85"/>
        <v>129894.325</v>
      </c>
    </row>
    <row r="142" customHeight="1" spans="1:17">
      <c r="A142" s="27">
        <v>4</v>
      </c>
      <c r="B142" s="11" t="s">
        <v>308</v>
      </c>
      <c r="C142" s="4" t="s">
        <v>309</v>
      </c>
      <c r="D142" s="15" t="s">
        <v>41</v>
      </c>
      <c r="E142" s="85">
        <v>582119.083333333</v>
      </c>
      <c r="F142" s="909">
        <v>432981.083333333</v>
      </c>
      <c r="G142" s="220">
        <v>267732.833333333</v>
      </c>
      <c r="H142" s="220">
        <f t="shared" si="78"/>
        <v>700713.916666666</v>
      </c>
      <c r="I142" s="220">
        <f t="shared" si="79"/>
        <v>118594.833333333</v>
      </c>
      <c r="J142" s="916">
        <v>46569.45</v>
      </c>
      <c r="K142" s="916">
        <f t="shared" si="80"/>
        <v>56057.1133333333</v>
      </c>
      <c r="L142" s="916">
        <f t="shared" si="81"/>
        <v>9487.66333333329</v>
      </c>
      <c r="M142" s="916">
        <v>8381.22708333333</v>
      </c>
      <c r="N142" s="916">
        <f t="shared" si="82"/>
        <v>10824.5270833333</v>
      </c>
      <c r="O142" s="916">
        <f t="shared" si="83"/>
        <v>2443.3</v>
      </c>
      <c r="P142" s="916">
        <f t="shared" si="84"/>
        <v>672685.359999999</v>
      </c>
      <c r="Q142" s="916">
        <f t="shared" si="85"/>
        <v>129894.325</v>
      </c>
    </row>
    <row r="143" customHeight="1" spans="1:17">
      <c r="A143" s="27">
        <v>5</v>
      </c>
      <c r="B143" s="11" t="s">
        <v>310</v>
      </c>
      <c r="C143" s="4" t="s">
        <v>309</v>
      </c>
      <c r="D143" s="15" t="s">
        <v>41</v>
      </c>
      <c r="E143" s="85">
        <v>582120.083333333</v>
      </c>
      <c r="F143" s="909">
        <v>432981.083333333</v>
      </c>
      <c r="G143" s="220">
        <v>267732.833333333</v>
      </c>
      <c r="H143" s="220">
        <f t="shared" si="78"/>
        <v>700713.916666666</v>
      </c>
      <c r="I143" s="220">
        <f t="shared" si="79"/>
        <v>118593.833333333</v>
      </c>
      <c r="J143" s="916">
        <v>46569.45</v>
      </c>
      <c r="K143" s="916">
        <f t="shared" si="80"/>
        <v>56057.1133333333</v>
      </c>
      <c r="L143" s="916">
        <f t="shared" si="81"/>
        <v>9487.66333333329</v>
      </c>
      <c r="M143" s="916">
        <v>8382.22708333333</v>
      </c>
      <c r="N143" s="916">
        <f t="shared" si="82"/>
        <v>10824.5270833333</v>
      </c>
      <c r="O143" s="916">
        <f t="shared" si="83"/>
        <v>2442.3</v>
      </c>
      <c r="P143" s="916">
        <f t="shared" si="84"/>
        <v>672685.359999999</v>
      </c>
      <c r="Q143" s="916">
        <f t="shared" si="85"/>
        <v>129894.325</v>
      </c>
    </row>
    <row r="144" customHeight="1" spans="1:17">
      <c r="A144" s="27">
        <v>6</v>
      </c>
      <c r="B144" s="11" t="s">
        <v>313</v>
      </c>
      <c r="C144" s="12" t="s">
        <v>230</v>
      </c>
      <c r="D144" s="15" t="s">
        <v>66</v>
      </c>
      <c r="E144" s="85">
        <v>390248.916666667</v>
      </c>
      <c r="F144" s="909">
        <v>311673.25</v>
      </c>
      <c r="G144" s="220">
        <v>185799.5</v>
      </c>
      <c r="H144" s="220">
        <f t="shared" si="78"/>
        <v>497472.75</v>
      </c>
      <c r="I144" s="220">
        <f t="shared" si="79"/>
        <v>107223.833333333</v>
      </c>
      <c r="J144" s="916">
        <v>31219.91</v>
      </c>
      <c r="K144" s="916">
        <f t="shared" si="80"/>
        <v>39797.82</v>
      </c>
      <c r="L144" s="916">
        <f t="shared" si="81"/>
        <v>8577.91</v>
      </c>
      <c r="M144" s="916">
        <v>0</v>
      </c>
      <c r="N144" s="916"/>
      <c r="O144" s="916">
        <f t="shared" si="83"/>
        <v>0</v>
      </c>
      <c r="P144" s="916">
        <f t="shared" si="84"/>
        <v>477573.84</v>
      </c>
      <c r="Q144" s="916">
        <f t="shared" si="85"/>
        <v>0</v>
      </c>
    </row>
    <row r="145" customHeight="1" spans="1:17">
      <c r="A145" s="27">
        <v>7</v>
      </c>
      <c r="B145" s="11" t="s">
        <v>314</v>
      </c>
      <c r="C145" s="4" t="s">
        <v>563</v>
      </c>
      <c r="D145" s="15" t="s">
        <v>66</v>
      </c>
      <c r="E145" s="85">
        <v>390248.916666667</v>
      </c>
      <c r="F145" s="909">
        <v>302987.416666667</v>
      </c>
      <c r="G145" s="220">
        <v>179859.166666667</v>
      </c>
      <c r="H145" s="220">
        <f t="shared" si="78"/>
        <v>482846.583333334</v>
      </c>
      <c r="I145" s="220">
        <f t="shared" si="79"/>
        <v>92597.666666667</v>
      </c>
      <c r="J145" s="916">
        <v>31219.91</v>
      </c>
      <c r="K145" s="916">
        <f t="shared" si="80"/>
        <v>38627.7266666667</v>
      </c>
      <c r="L145" s="916">
        <f t="shared" si="81"/>
        <v>7407.81666666672</v>
      </c>
      <c r="M145" s="916">
        <v>0</v>
      </c>
      <c r="N145" s="916"/>
      <c r="O145" s="916">
        <f t="shared" si="83"/>
        <v>0</v>
      </c>
      <c r="P145" s="916">
        <f t="shared" si="84"/>
        <v>463532.720000001</v>
      </c>
      <c r="Q145" s="916">
        <f t="shared" si="85"/>
        <v>0</v>
      </c>
    </row>
    <row r="146" customHeight="1" spans="1:17">
      <c r="A146" s="27">
        <v>8</v>
      </c>
      <c r="B146" s="11" t="s">
        <v>316</v>
      </c>
      <c r="C146" s="12" t="s">
        <v>564</v>
      </c>
      <c r="D146" s="15" t="s">
        <v>170</v>
      </c>
      <c r="E146" s="85">
        <v>390086.5</v>
      </c>
      <c r="F146" s="909">
        <v>302878.666666667</v>
      </c>
      <c r="G146" s="220">
        <v>179784</v>
      </c>
      <c r="H146" s="220">
        <f t="shared" si="78"/>
        <v>482662.666666667</v>
      </c>
      <c r="I146" s="220">
        <f t="shared" si="79"/>
        <v>92576.166666667</v>
      </c>
      <c r="J146" s="916">
        <v>30231.6133333333</v>
      </c>
      <c r="K146" s="916">
        <f t="shared" si="80"/>
        <v>38613.0133333334</v>
      </c>
      <c r="L146" s="916">
        <f t="shared" si="81"/>
        <v>8381.40000000006</v>
      </c>
      <c r="M146" s="916">
        <v>0</v>
      </c>
      <c r="N146" s="916"/>
      <c r="O146" s="916">
        <f t="shared" si="83"/>
        <v>0</v>
      </c>
      <c r="P146" s="916">
        <f t="shared" si="84"/>
        <v>463356.16</v>
      </c>
      <c r="Q146" s="916">
        <f t="shared" si="85"/>
        <v>0</v>
      </c>
    </row>
    <row r="147" customHeight="1" spans="1:17">
      <c r="A147" s="27">
        <v>9</v>
      </c>
      <c r="B147" s="11" t="s">
        <v>318</v>
      </c>
      <c r="C147" s="12" t="s">
        <v>319</v>
      </c>
      <c r="D147" s="15" t="s">
        <v>69</v>
      </c>
      <c r="E147" s="85">
        <v>377895.166666667</v>
      </c>
      <c r="F147" s="909">
        <v>294662.916666667</v>
      </c>
      <c r="G147" s="220">
        <v>174165.25</v>
      </c>
      <c r="H147" s="220">
        <f t="shared" si="78"/>
        <v>468828.166666667</v>
      </c>
      <c r="I147" s="220">
        <f t="shared" si="79"/>
        <v>90933</v>
      </c>
      <c r="J147" s="916">
        <v>29256.3066666667</v>
      </c>
      <c r="K147" s="916">
        <f t="shared" si="80"/>
        <v>37506.2533333334</v>
      </c>
      <c r="L147" s="916">
        <f t="shared" si="81"/>
        <v>8249.94666666666</v>
      </c>
      <c r="M147" s="916">
        <v>4928.93333333333</v>
      </c>
      <c r="N147" s="916">
        <f>0.025*F147</f>
        <v>7366.57291666668</v>
      </c>
      <c r="O147" s="916">
        <f t="shared" si="83"/>
        <v>2437.63958333335</v>
      </c>
      <c r="P147" s="916">
        <f t="shared" si="84"/>
        <v>450075.04</v>
      </c>
      <c r="Q147" s="916">
        <f t="shared" si="85"/>
        <v>88398.8750000001</v>
      </c>
    </row>
    <row r="148" customHeight="1" spans="1:17">
      <c r="A148" s="27">
        <v>10</v>
      </c>
      <c r="B148" s="18" t="s">
        <v>320</v>
      </c>
      <c r="C148" s="4" t="s">
        <v>321</v>
      </c>
      <c r="D148" s="15" t="s">
        <v>131</v>
      </c>
      <c r="E148" s="220">
        <v>365703.833333333</v>
      </c>
      <c r="F148" s="909">
        <v>286447.083333333</v>
      </c>
      <c r="G148" s="220">
        <v>168546.5</v>
      </c>
      <c r="H148" s="220">
        <f t="shared" si="78"/>
        <v>454993.583333333</v>
      </c>
      <c r="I148" s="220">
        <f t="shared" si="79"/>
        <v>89289.75</v>
      </c>
      <c r="J148" s="916">
        <v>28281</v>
      </c>
      <c r="K148" s="916">
        <f t="shared" si="80"/>
        <v>36399.4866666666</v>
      </c>
      <c r="L148" s="916">
        <f t="shared" si="81"/>
        <v>8118.48666666664</v>
      </c>
      <c r="M148" s="916">
        <v>0</v>
      </c>
      <c r="N148" s="916"/>
      <c r="O148" s="916">
        <f t="shared" si="83"/>
        <v>0</v>
      </c>
      <c r="P148" s="916">
        <f t="shared" si="84"/>
        <v>436793.84</v>
      </c>
      <c r="Q148" s="916">
        <f t="shared" si="85"/>
        <v>0</v>
      </c>
    </row>
    <row r="149" customHeight="1" spans="1:17">
      <c r="A149" s="27">
        <v>11</v>
      </c>
      <c r="B149" s="11" t="s">
        <v>322</v>
      </c>
      <c r="C149" s="4" t="s">
        <v>321</v>
      </c>
      <c r="D149" s="15" t="s">
        <v>504</v>
      </c>
      <c r="E149" s="220">
        <v>353512.5</v>
      </c>
      <c r="F149" s="909">
        <v>278231.25</v>
      </c>
      <c r="G149" s="220">
        <v>162927.75</v>
      </c>
      <c r="H149" s="220">
        <f t="shared" si="78"/>
        <v>441159</v>
      </c>
      <c r="I149" s="220">
        <f t="shared" si="79"/>
        <v>87646.5</v>
      </c>
      <c r="J149" s="916">
        <v>28281</v>
      </c>
      <c r="K149" s="916">
        <f t="shared" si="80"/>
        <v>35292.72</v>
      </c>
      <c r="L149" s="916">
        <f t="shared" si="81"/>
        <v>7011.72</v>
      </c>
      <c r="M149" s="916">
        <v>0</v>
      </c>
      <c r="N149" s="916"/>
      <c r="O149" s="916">
        <f t="shared" si="83"/>
        <v>0</v>
      </c>
      <c r="P149" s="916">
        <f t="shared" si="84"/>
        <v>423512.64</v>
      </c>
      <c r="Q149" s="916">
        <f t="shared" si="85"/>
        <v>0</v>
      </c>
    </row>
    <row r="150" customHeight="1" spans="1:17">
      <c r="A150" s="27">
        <v>12</v>
      </c>
      <c r="B150" s="11" t="s">
        <v>323</v>
      </c>
      <c r="C150" s="4" t="s">
        <v>321</v>
      </c>
      <c r="D150" s="15" t="s">
        <v>504</v>
      </c>
      <c r="E150" s="220">
        <v>353512.5</v>
      </c>
      <c r="F150" s="909">
        <v>278231.25</v>
      </c>
      <c r="G150" s="220">
        <v>162927.75</v>
      </c>
      <c r="H150" s="220">
        <f t="shared" si="78"/>
        <v>441159</v>
      </c>
      <c r="I150" s="220">
        <f t="shared" si="79"/>
        <v>87646.5</v>
      </c>
      <c r="J150" s="916">
        <v>28281</v>
      </c>
      <c r="K150" s="916">
        <f t="shared" si="80"/>
        <v>35292.72</v>
      </c>
      <c r="L150" s="916">
        <f t="shared" si="81"/>
        <v>7011.72</v>
      </c>
      <c r="M150" s="916">
        <v>4928.93333333333</v>
      </c>
      <c r="N150" s="916">
        <f>0.025*F150</f>
        <v>6955.78125</v>
      </c>
      <c r="O150" s="916">
        <f t="shared" si="83"/>
        <v>2026.84791666667</v>
      </c>
      <c r="P150" s="916">
        <f t="shared" si="84"/>
        <v>423512.64</v>
      </c>
      <c r="Q150" s="916">
        <f t="shared" si="85"/>
        <v>83469.375</v>
      </c>
    </row>
    <row r="151" customHeight="1" spans="1:17">
      <c r="A151" s="27">
        <v>13</v>
      </c>
      <c r="B151" s="11" t="s">
        <v>325</v>
      </c>
      <c r="C151" s="4" t="s">
        <v>321</v>
      </c>
      <c r="D151" s="15" t="s">
        <v>131</v>
      </c>
      <c r="E151" s="220">
        <v>365703.833333333</v>
      </c>
      <c r="F151" s="909">
        <v>286447.083333333</v>
      </c>
      <c r="G151" s="220">
        <v>168546.5</v>
      </c>
      <c r="H151" s="220">
        <f t="shared" si="78"/>
        <v>454993.583333333</v>
      </c>
      <c r="I151" s="220">
        <f t="shared" si="79"/>
        <v>89289.75</v>
      </c>
      <c r="J151" s="916">
        <v>28281</v>
      </c>
      <c r="K151" s="916">
        <f t="shared" si="80"/>
        <v>36399.4866666666</v>
      </c>
      <c r="L151" s="916">
        <f t="shared" si="81"/>
        <v>8118.48666666664</v>
      </c>
      <c r="M151" s="916">
        <v>0</v>
      </c>
      <c r="N151" s="916"/>
      <c r="O151" s="916">
        <f t="shared" si="83"/>
        <v>0</v>
      </c>
      <c r="P151" s="916">
        <f t="shared" si="84"/>
        <v>436793.84</v>
      </c>
      <c r="Q151" s="916">
        <f t="shared" si="85"/>
        <v>0</v>
      </c>
    </row>
    <row r="152" customHeight="1" spans="1:17">
      <c r="A152" s="27">
        <v>14</v>
      </c>
      <c r="B152" s="11" t="s">
        <v>326</v>
      </c>
      <c r="C152" s="12" t="s">
        <v>327</v>
      </c>
      <c r="D152" s="15" t="s">
        <v>77</v>
      </c>
      <c r="E152" s="220">
        <v>308901.5</v>
      </c>
      <c r="F152" s="909">
        <v>246171.166666667</v>
      </c>
      <c r="G152" s="220">
        <v>143964.666666667</v>
      </c>
      <c r="H152" s="220">
        <f t="shared" si="78"/>
        <v>390135.833333334</v>
      </c>
      <c r="I152" s="220">
        <f t="shared" si="79"/>
        <v>81234.333333334</v>
      </c>
      <c r="J152" s="916">
        <v>24077.2466666667</v>
      </c>
      <c r="K152" s="916">
        <f t="shared" si="80"/>
        <v>31210.8666666667</v>
      </c>
      <c r="L152" s="916">
        <f t="shared" si="81"/>
        <v>7133.62000000002</v>
      </c>
      <c r="M152" s="916">
        <v>0</v>
      </c>
      <c r="N152" s="916"/>
      <c r="O152" s="916">
        <f t="shared" si="83"/>
        <v>0</v>
      </c>
      <c r="P152" s="916">
        <f t="shared" si="84"/>
        <v>374530.400000001</v>
      </c>
      <c r="Q152" s="916">
        <f t="shared" si="85"/>
        <v>0</v>
      </c>
    </row>
    <row r="153" customHeight="1" spans="1:17">
      <c r="A153" s="27">
        <v>15</v>
      </c>
      <c r="B153" s="11" t="s">
        <v>328</v>
      </c>
      <c r="C153" s="12" t="s">
        <v>329</v>
      </c>
      <c r="D153" s="10" t="s">
        <v>88</v>
      </c>
      <c r="E153" s="85">
        <v>270481.666666667</v>
      </c>
      <c r="F153" s="909">
        <v>222674.583333333</v>
      </c>
      <c r="G153" s="220">
        <v>124341.583333333</v>
      </c>
      <c r="H153" s="220">
        <f t="shared" si="78"/>
        <v>347016.166666666</v>
      </c>
      <c r="I153" s="220">
        <f t="shared" si="79"/>
        <v>76534.499999999</v>
      </c>
      <c r="J153" s="916">
        <v>21053.2266666667</v>
      </c>
      <c r="K153" s="916">
        <f t="shared" si="80"/>
        <v>27761.2933333333</v>
      </c>
      <c r="L153" s="916">
        <f t="shared" si="81"/>
        <v>6708.06666666658</v>
      </c>
      <c r="M153" s="916">
        <v>0</v>
      </c>
      <c r="N153" s="916"/>
      <c r="O153" s="916">
        <f t="shared" si="83"/>
        <v>0</v>
      </c>
      <c r="P153" s="916">
        <f t="shared" si="84"/>
        <v>333135.519999999</v>
      </c>
      <c r="Q153" s="916">
        <f t="shared" si="85"/>
        <v>0</v>
      </c>
    </row>
    <row r="154" customHeight="1" spans="1:17">
      <c r="A154" s="27">
        <v>16</v>
      </c>
      <c r="B154" s="11" t="s">
        <v>330</v>
      </c>
      <c r="C154" s="12" t="s">
        <v>565</v>
      </c>
      <c r="D154" s="15" t="s">
        <v>151</v>
      </c>
      <c r="E154" s="220">
        <v>316837.416666667</v>
      </c>
      <c r="F154" s="909">
        <v>308901.5</v>
      </c>
      <c r="G154" s="220">
        <v>147663.25</v>
      </c>
      <c r="H154" s="220">
        <f t="shared" si="78"/>
        <v>456564.75</v>
      </c>
      <c r="I154" s="220">
        <f t="shared" si="79"/>
        <v>139727.333333333</v>
      </c>
      <c r="J154" s="916">
        <v>24712.12</v>
      </c>
      <c r="K154" s="916">
        <f t="shared" si="80"/>
        <v>36525.18</v>
      </c>
      <c r="L154" s="916">
        <f t="shared" si="81"/>
        <v>11813.06</v>
      </c>
      <c r="M154" s="916">
        <v>0</v>
      </c>
      <c r="N154" s="916"/>
      <c r="O154" s="916">
        <f t="shared" si="83"/>
        <v>0</v>
      </c>
      <c r="P154" s="916">
        <f t="shared" si="84"/>
        <v>438302.16</v>
      </c>
      <c r="Q154" s="916">
        <f t="shared" si="85"/>
        <v>0</v>
      </c>
    </row>
    <row r="155" customHeight="1" spans="1:17">
      <c r="A155" s="27">
        <v>17</v>
      </c>
      <c r="B155" s="11" t="s">
        <v>332</v>
      </c>
      <c r="C155" s="12" t="s">
        <v>566</v>
      </c>
      <c r="D155" s="15" t="s">
        <v>85</v>
      </c>
      <c r="E155" s="220">
        <v>277798</v>
      </c>
      <c r="F155" s="909">
        <v>227615.75</v>
      </c>
      <c r="G155" s="220">
        <v>127704.916666667</v>
      </c>
      <c r="H155" s="220">
        <f t="shared" si="78"/>
        <v>355320.666666667</v>
      </c>
      <c r="I155" s="220">
        <f t="shared" si="79"/>
        <v>77522.666666667</v>
      </c>
      <c r="J155" s="916">
        <v>21638.5333333333</v>
      </c>
      <c r="K155" s="916">
        <f t="shared" si="80"/>
        <v>28425.6533333334</v>
      </c>
      <c r="L155" s="916">
        <f t="shared" si="81"/>
        <v>6787.12000000006</v>
      </c>
      <c r="M155" s="916">
        <v>0</v>
      </c>
      <c r="N155" s="916"/>
      <c r="O155" s="916">
        <f t="shared" si="83"/>
        <v>0</v>
      </c>
      <c r="P155" s="916">
        <f t="shared" si="84"/>
        <v>341107.84</v>
      </c>
      <c r="Q155" s="916">
        <f t="shared" si="85"/>
        <v>0</v>
      </c>
    </row>
    <row r="156" customHeight="1" spans="1:17">
      <c r="A156" s="27">
        <v>18</v>
      </c>
      <c r="B156" s="11" t="s">
        <v>334</v>
      </c>
      <c r="C156" s="12" t="s">
        <v>567</v>
      </c>
      <c r="D156" s="15" t="s">
        <v>151</v>
      </c>
      <c r="E156" s="220">
        <v>316837.416666667</v>
      </c>
      <c r="F156" s="909">
        <v>308901.5</v>
      </c>
      <c r="G156" s="220">
        <v>147663.25</v>
      </c>
      <c r="H156" s="220">
        <f t="shared" si="78"/>
        <v>456564.75</v>
      </c>
      <c r="I156" s="220">
        <f t="shared" si="79"/>
        <v>139727.333333333</v>
      </c>
      <c r="J156" s="916">
        <v>24712.12</v>
      </c>
      <c r="K156" s="916">
        <f t="shared" si="80"/>
        <v>36525.18</v>
      </c>
      <c r="L156" s="916">
        <f t="shared" si="81"/>
        <v>11813.06</v>
      </c>
      <c r="M156" s="916">
        <v>4123.42083333333</v>
      </c>
      <c r="N156" s="916">
        <f>0.025*F156</f>
        <v>7722.5375</v>
      </c>
      <c r="O156" s="916">
        <f t="shared" si="83"/>
        <v>3599.11666666667</v>
      </c>
      <c r="P156" s="916">
        <f t="shared" si="84"/>
        <v>438302.16</v>
      </c>
      <c r="Q156" s="916">
        <f t="shared" si="85"/>
        <v>92670.45</v>
      </c>
    </row>
    <row r="157" customHeight="1" spans="1:17">
      <c r="A157" s="27">
        <v>19</v>
      </c>
      <c r="B157" s="11" t="s">
        <v>335</v>
      </c>
      <c r="C157" s="12" t="s">
        <v>568</v>
      </c>
      <c r="D157" s="15" t="s">
        <v>85</v>
      </c>
      <c r="E157" s="220">
        <v>277798</v>
      </c>
      <c r="F157" s="909">
        <v>227615.75</v>
      </c>
      <c r="G157" s="220">
        <v>127704.916666667</v>
      </c>
      <c r="H157" s="220">
        <f t="shared" si="78"/>
        <v>355320.666666667</v>
      </c>
      <c r="I157" s="220">
        <f t="shared" si="79"/>
        <v>77522.666666667</v>
      </c>
      <c r="J157" s="916">
        <v>21638.5333333333</v>
      </c>
      <c r="K157" s="916">
        <f t="shared" si="80"/>
        <v>28425.6533333334</v>
      </c>
      <c r="L157" s="916">
        <f t="shared" si="81"/>
        <v>6787.12000000006</v>
      </c>
      <c r="M157" s="916">
        <v>0</v>
      </c>
      <c r="N157" s="916"/>
      <c r="O157" s="916">
        <f t="shared" si="83"/>
        <v>0</v>
      </c>
      <c r="P157" s="916">
        <f t="shared" si="84"/>
        <v>341107.84</v>
      </c>
      <c r="Q157" s="916">
        <f t="shared" si="85"/>
        <v>0</v>
      </c>
    </row>
    <row r="158" customHeight="1" spans="1:17">
      <c r="A158" s="27">
        <v>20</v>
      </c>
      <c r="B158" s="18" t="s">
        <v>337</v>
      </c>
      <c r="C158" s="12" t="s">
        <v>338</v>
      </c>
      <c r="D158" s="15" t="s">
        <v>99</v>
      </c>
      <c r="E158" s="220">
        <v>263165.333333333</v>
      </c>
      <c r="F158" s="909">
        <v>217733.416666667</v>
      </c>
      <c r="G158" s="220">
        <v>120978.25</v>
      </c>
      <c r="H158" s="220">
        <f t="shared" si="78"/>
        <v>338711.666666667</v>
      </c>
      <c r="I158" s="220">
        <f t="shared" si="79"/>
        <v>75546.333333334</v>
      </c>
      <c r="J158" s="916">
        <v>20467.92</v>
      </c>
      <c r="K158" s="916">
        <f t="shared" si="80"/>
        <v>27096.9333333334</v>
      </c>
      <c r="L158" s="916">
        <f t="shared" si="81"/>
        <v>6629.01333333336</v>
      </c>
      <c r="M158" s="916">
        <v>0</v>
      </c>
      <c r="N158" s="916"/>
      <c r="O158" s="916">
        <f t="shared" si="83"/>
        <v>0</v>
      </c>
      <c r="P158" s="916">
        <f t="shared" si="84"/>
        <v>325163.2</v>
      </c>
      <c r="Q158" s="916">
        <f t="shared" si="85"/>
        <v>0</v>
      </c>
    </row>
    <row r="159" customHeight="1" spans="1:17">
      <c r="A159" s="27">
        <v>21</v>
      </c>
      <c r="B159" s="18" t="s">
        <v>339</v>
      </c>
      <c r="C159" s="12" t="s">
        <v>338</v>
      </c>
      <c r="D159" s="15" t="s">
        <v>99</v>
      </c>
      <c r="E159" s="220">
        <v>263165.333333333</v>
      </c>
      <c r="F159" s="909">
        <v>217733.416666667</v>
      </c>
      <c r="G159" s="220">
        <v>120978.25</v>
      </c>
      <c r="H159" s="220">
        <f t="shared" si="78"/>
        <v>338711.666666667</v>
      </c>
      <c r="I159" s="220">
        <f t="shared" si="79"/>
        <v>75546.333333334</v>
      </c>
      <c r="J159" s="916">
        <v>20467.92</v>
      </c>
      <c r="K159" s="916">
        <f t="shared" si="80"/>
        <v>27096.9333333334</v>
      </c>
      <c r="L159" s="916">
        <f t="shared" si="81"/>
        <v>6629.01333333336</v>
      </c>
      <c r="M159" s="916">
        <v>0</v>
      </c>
      <c r="N159" s="916"/>
      <c r="O159" s="916">
        <f t="shared" si="83"/>
        <v>0</v>
      </c>
      <c r="P159" s="916">
        <f t="shared" si="84"/>
        <v>325163.2</v>
      </c>
      <c r="Q159" s="916">
        <f t="shared" si="85"/>
        <v>0</v>
      </c>
    </row>
    <row r="160" customHeight="1" spans="1:17">
      <c r="A160" s="27">
        <v>22</v>
      </c>
      <c r="B160" s="18" t="s">
        <v>345</v>
      </c>
      <c r="C160" s="12" t="s">
        <v>346</v>
      </c>
      <c r="D160" s="15" t="s">
        <v>108</v>
      </c>
      <c r="E160" s="85">
        <v>230631.916666667</v>
      </c>
      <c r="F160" s="909">
        <v>196364.416666667</v>
      </c>
      <c r="G160" s="220">
        <v>105546.333333333</v>
      </c>
      <c r="H160" s="220">
        <f t="shared" si="78"/>
        <v>301910.75</v>
      </c>
      <c r="I160" s="220">
        <f t="shared" si="79"/>
        <v>71278.833333333</v>
      </c>
      <c r="J160" s="916">
        <v>17956.78</v>
      </c>
      <c r="K160" s="916">
        <f t="shared" si="80"/>
        <v>24152.86</v>
      </c>
      <c r="L160" s="916">
        <f t="shared" si="81"/>
        <v>6196.08</v>
      </c>
      <c r="M160" s="916">
        <v>0</v>
      </c>
      <c r="N160" s="916"/>
      <c r="O160" s="916">
        <f t="shared" si="83"/>
        <v>0</v>
      </c>
      <c r="P160" s="916">
        <f t="shared" si="84"/>
        <v>289834.32</v>
      </c>
      <c r="Q160" s="916">
        <f t="shared" si="85"/>
        <v>0</v>
      </c>
    </row>
    <row r="161" customHeight="1" spans="1:17">
      <c r="A161" s="27">
        <v>23</v>
      </c>
      <c r="B161" s="18" t="s">
        <v>347</v>
      </c>
      <c r="C161" s="12" t="s">
        <v>348</v>
      </c>
      <c r="D161" s="15" t="s">
        <v>108</v>
      </c>
      <c r="E161" s="85">
        <v>230631.916666667</v>
      </c>
      <c r="F161" s="909">
        <v>196364.416666667</v>
      </c>
      <c r="G161" s="220">
        <v>105546.333333333</v>
      </c>
      <c r="H161" s="220">
        <f t="shared" si="78"/>
        <v>301910.75</v>
      </c>
      <c r="I161" s="220">
        <f t="shared" si="79"/>
        <v>71278.833333333</v>
      </c>
      <c r="J161" s="916">
        <v>17956.78</v>
      </c>
      <c r="K161" s="916">
        <f t="shared" si="80"/>
        <v>24152.86</v>
      </c>
      <c r="L161" s="916">
        <f t="shared" si="81"/>
        <v>6196.08</v>
      </c>
      <c r="M161" s="916">
        <v>0</v>
      </c>
      <c r="N161" s="916"/>
      <c r="O161" s="916">
        <f t="shared" si="83"/>
        <v>0</v>
      </c>
      <c r="P161" s="916">
        <f t="shared" si="84"/>
        <v>289834.32</v>
      </c>
      <c r="Q161" s="916">
        <f t="shared" si="85"/>
        <v>0</v>
      </c>
    </row>
    <row r="162" customHeight="1" spans="1:17">
      <c r="A162" s="27">
        <v>24</v>
      </c>
      <c r="B162" s="18" t="s">
        <v>349</v>
      </c>
      <c r="C162" s="12" t="s">
        <v>350</v>
      </c>
      <c r="D162" s="15" t="s">
        <v>108</v>
      </c>
      <c r="E162" s="85">
        <v>230631.916666667</v>
      </c>
      <c r="F162" s="909">
        <v>196364.416666667</v>
      </c>
      <c r="G162" s="220">
        <v>105546.333333333</v>
      </c>
      <c r="H162" s="220">
        <f t="shared" si="78"/>
        <v>301910.75</v>
      </c>
      <c r="I162" s="220">
        <f t="shared" si="79"/>
        <v>71278.833333333</v>
      </c>
      <c r="J162" s="916">
        <v>17956.78</v>
      </c>
      <c r="K162" s="916">
        <f t="shared" si="80"/>
        <v>24152.86</v>
      </c>
      <c r="L162" s="916">
        <f t="shared" si="81"/>
        <v>6196.08</v>
      </c>
      <c r="M162" s="916">
        <v>0</v>
      </c>
      <c r="N162" s="916"/>
      <c r="O162" s="916">
        <f t="shared" si="83"/>
        <v>0</v>
      </c>
      <c r="P162" s="916">
        <f t="shared" si="84"/>
        <v>289834.32</v>
      </c>
      <c r="Q162" s="916">
        <f t="shared" si="85"/>
        <v>0</v>
      </c>
    </row>
    <row r="163" customHeight="1" spans="1:17">
      <c r="A163" s="27">
        <v>25</v>
      </c>
      <c r="B163" s="18" t="s">
        <v>351</v>
      </c>
      <c r="C163" s="12" t="s">
        <v>569</v>
      </c>
      <c r="D163" s="15" t="s">
        <v>105</v>
      </c>
      <c r="E163" s="85">
        <v>236804.083333333</v>
      </c>
      <c r="F163" s="909">
        <v>200549.416666667</v>
      </c>
      <c r="G163" s="220">
        <v>108371.25</v>
      </c>
      <c r="H163" s="220">
        <f t="shared" si="78"/>
        <v>308920.666666667</v>
      </c>
      <c r="I163" s="220">
        <f t="shared" si="79"/>
        <v>72116.583333334</v>
      </c>
      <c r="J163" s="916">
        <v>18450.5533333333</v>
      </c>
      <c r="K163" s="916">
        <f t="shared" si="80"/>
        <v>24713.6533333334</v>
      </c>
      <c r="L163" s="916">
        <f t="shared" si="81"/>
        <v>6263.10000000006</v>
      </c>
      <c r="M163" s="916">
        <v>0</v>
      </c>
      <c r="N163" s="916"/>
      <c r="O163" s="916">
        <f t="shared" si="83"/>
        <v>0</v>
      </c>
      <c r="P163" s="916">
        <f t="shared" si="84"/>
        <v>296563.84</v>
      </c>
      <c r="Q163" s="916">
        <f t="shared" si="85"/>
        <v>0</v>
      </c>
    </row>
    <row r="164" customHeight="1" spans="1:17">
      <c r="A164" s="27">
        <v>26</v>
      </c>
      <c r="B164" s="18" t="s">
        <v>352</v>
      </c>
      <c r="C164" s="12" t="s">
        <v>348</v>
      </c>
      <c r="D164" s="15" t="s">
        <v>108</v>
      </c>
      <c r="E164" s="85">
        <v>230631.916666667</v>
      </c>
      <c r="F164" s="909">
        <v>196364.416666667</v>
      </c>
      <c r="G164" s="220">
        <v>105546.333333333</v>
      </c>
      <c r="H164" s="220">
        <f t="shared" si="78"/>
        <v>301910.75</v>
      </c>
      <c r="I164" s="220">
        <f t="shared" si="79"/>
        <v>71278.833333333</v>
      </c>
      <c r="J164" s="916">
        <v>17956.78</v>
      </c>
      <c r="K164" s="916">
        <f t="shared" si="80"/>
        <v>24152.86</v>
      </c>
      <c r="L164" s="916">
        <f t="shared" si="81"/>
        <v>6196.08</v>
      </c>
      <c r="M164" s="916">
        <v>0</v>
      </c>
      <c r="N164" s="916"/>
      <c r="O164" s="916">
        <f t="shared" si="83"/>
        <v>0</v>
      </c>
      <c r="P164" s="916">
        <f t="shared" si="84"/>
        <v>289834.32</v>
      </c>
      <c r="Q164" s="916">
        <f t="shared" si="85"/>
        <v>0</v>
      </c>
    </row>
    <row r="165" customHeight="1" spans="1:17">
      <c r="A165" s="27">
        <v>27</v>
      </c>
      <c r="B165" s="18" t="s">
        <v>353</v>
      </c>
      <c r="C165" s="12" t="s">
        <v>354</v>
      </c>
      <c r="D165" s="15" t="s">
        <v>111</v>
      </c>
      <c r="E165" s="676">
        <v>224459.75</v>
      </c>
      <c r="F165" s="909">
        <v>192179.416666667</v>
      </c>
      <c r="G165" s="220">
        <v>102721.416666667</v>
      </c>
      <c r="H165" s="220">
        <f t="shared" si="78"/>
        <v>294900.833333334</v>
      </c>
      <c r="I165" s="220">
        <f t="shared" si="79"/>
        <v>70441.083333334</v>
      </c>
      <c r="J165" s="916">
        <v>17463.0066666666</v>
      </c>
      <c r="K165" s="916">
        <f t="shared" si="80"/>
        <v>23592.0666666667</v>
      </c>
      <c r="L165" s="916">
        <f t="shared" si="81"/>
        <v>6129.06000000012</v>
      </c>
      <c r="M165" s="916"/>
      <c r="N165" s="916"/>
      <c r="O165" s="916">
        <f t="shared" si="83"/>
        <v>0</v>
      </c>
      <c r="P165" s="916">
        <f t="shared" si="84"/>
        <v>283104.800000001</v>
      </c>
      <c r="Q165" s="916">
        <f t="shared" si="85"/>
        <v>0</v>
      </c>
    </row>
    <row r="166" customHeight="1" spans="1:17">
      <c r="A166" s="27">
        <v>28</v>
      </c>
      <c r="B166" s="18" t="s">
        <v>355</v>
      </c>
      <c r="C166" s="12" t="s">
        <v>354</v>
      </c>
      <c r="D166" s="15" t="s">
        <v>111</v>
      </c>
      <c r="E166" s="676">
        <v>224459.75</v>
      </c>
      <c r="F166" s="909">
        <v>192179.416666667</v>
      </c>
      <c r="G166" s="220">
        <v>102721.416666667</v>
      </c>
      <c r="H166" s="220">
        <f t="shared" si="78"/>
        <v>294900.833333334</v>
      </c>
      <c r="I166" s="220">
        <f t="shared" si="79"/>
        <v>70441.083333334</v>
      </c>
      <c r="J166" s="916">
        <v>17463.0066666666</v>
      </c>
      <c r="K166" s="916">
        <f t="shared" si="80"/>
        <v>23592.0666666667</v>
      </c>
      <c r="L166" s="916">
        <f t="shared" si="81"/>
        <v>6129.06000000012</v>
      </c>
      <c r="M166" s="916"/>
      <c r="N166" s="916"/>
      <c r="O166" s="916">
        <f t="shared" si="83"/>
        <v>0</v>
      </c>
      <c r="P166" s="916">
        <f t="shared" si="84"/>
        <v>283104.800000001</v>
      </c>
      <c r="Q166" s="916">
        <f t="shared" si="85"/>
        <v>0</v>
      </c>
    </row>
    <row r="167" customHeight="1" spans="1:17">
      <c r="A167" s="27">
        <v>29</v>
      </c>
      <c r="B167" s="11" t="s">
        <v>361</v>
      </c>
      <c r="C167" s="12" t="s">
        <v>362</v>
      </c>
      <c r="D167" s="15" t="s">
        <v>375</v>
      </c>
      <c r="E167" s="226">
        <v>173859.5</v>
      </c>
      <c r="F167" s="921">
        <v>159288.583333333</v>
      </c>
      <c r="G167" s="220">
        <v>78428.5833333333</v>
      </c>
      <c r="H167" s="220">
        <f t="shared" si="78"/>
        <v>237717.166666666</v>
      </c>
      <c r="I167" s="220">
        <f t="shared" si="79"/>
        <v>63857.6666666663</v>
      </c>
      <c r="J167" s="916">
        <v>13487.8533333333</v>
      </c>
      <c r="K167" s="916">
        <f t="shared" si="80"/>
        <v>19017.3733333333</v>
      </c>
      <c r="L167" s="916">
        <f t="shared" si="81"/>
        <v>5529.52</v>
      </c>
      <c r="M167" s="916">
        <v>2313.575</v>
      </c>
      <c r="N167" s="916">
        <f>0.025*F167</f>
        <v>3982.21458333333</v>
      </c>
      <c r="O167" s="916">
        <f t="shared" si="83"/>
        <v>1668.63958333333</v>
      </c>
      <c r="P167" s="916">
        <f t="shared" si="84"/>
        <v>228208.48</v>
      </c>
      <c r="Q167" s="916">
        <f t="shared" si="85"/>
        <v>47786.5749999999</v>
      </c>
    </row>
    <row r="168" customHeight="1" spans="1:17">
      <c r="A168" s="27">
        <v>30</v>
      </c>
      <c r="B168" s="11" t="s">
        <v>364</v>
      </c>
      <c r="C168" s="12" t="s">
        <v>362</v>
      </c>
      <c r="D168" s="15" t="s">
        <v>375</v>
      </c>
      <c r="E168" s="226">
        <v>173859.5</v>
      </c>
      <c r="F168" s="921">
        <v>159288.583333333</v>
      </c>
      <c r="G168" s="220">
        <v>78428.5833333333</v>
      </c>
      <c r="H168" s="220">
        <f t="shared" si="78"/>
        <v>237717.166666666</v>
      </c>
      <c r="I168" s="220">
        <f t="shared" si="79"/>
        <v>63857.6666666663</v>
      </c>
      <c r="J168" s="916">
        <v>13487.8533333333</v>
      </c>
      <c r="K168" s="916">
        <f t="shared" si="80"/>
        <v>19017.3733333333</v>
      </c>
      <c r="L168" s="916">
        <f t="shared" si="81"/>
        <v>5529.52</v>
      </c>
      <c r="M168" s="916">
        <v>0</v>
      </c>
      <c r="N168" s="916"/>
      <c r="O168" s="916">
        <f t="shared" si="83"/>
        <v>0</v>
      </c>
      <c r="P168" s="916">
        <f t="shared" si="84"/>
        <v>228208.48</v>
      </c>
      <c r="Q168" s="916">
        <f t="shared" si="85"/>
        <v>0</v>
      </c>
    </row>
    <row r="169" customHeight="1" spans="1:17">
      <c r="A169" s="27">
        <v>31</v>
      </c>
      <c r="B169" s="11" t="s">
        <v>570</v>
      </c>
      <c r="C169" s="12" t="s">
        <v>362</v>
      </c>
      <c r="D169" s="15" t="s">
        <v>375</v>
      </c>
      <c r="E169" s="226">
        <v>173859.5</v>
      </c>
      <c r="F169" s="921">
        <v>159288.583333333</v>
      </c>
      <c r="G169" s="220">
        <v>78428.5833333333</v>
      </c>
      <c r="H169" s="220">
        <f t="shared" si="78"/>
        <v>237717.166666666</v>
      </c>
      <c r="I169" s="220">
        <f t="shared" si="79"/>
        <v>63857.6666666663</v>
      </c>
      <c r="J169" s="916">
        <v>13487.8533333333</v>
      </c>
      <c r="K169" s="916">
        <f t="shared" si="80"/>
        <v>19017.3733333333</v>
      </c>
      <c r="L169" s="916">
        <f t="shared" si="81"/>
        <v>5529.52</v>
      </c>
      <c r="M169" s="916">
        <v>0</v>
      </c>
      <c r="N169" s="916"/>
      <c r="O169" s="916">
        <f t="shared" si="83"/>
        <v>0</v>
      </c>
      <c r="P169" s="916">
        <f t="shared" si="84"/>
        <v>228208.48</v>
      </c>
      <c r="Q169" s="916">
        <f t="shared" si="85"/>
        <v>0</v>
      </c>
    </row>
    <row r="170" customHeight="1" spans="1:17">
      <c r="A170" s="27">
        <v>32</v>
      </c>
      <c r="B170" s="11" t="s">
        <v>365</v>
      </c>
      <c r="C170" s="12" t="s">
        <v>362</v>
      </c>
      <c r="D170" s="15" t="s">
        <v>375</v>
      </c>
      <c r="E170" s="226">
        <v>173859.5</v>
      </c>
      <c r="F170" s="921">
        <v>159288.583333333</v>
      </c>
      <c r="G170" s="220">
        <v>78428.5833333333</v>
      </c>
      <c r="H170" s="220">
        <f t="shared" si="78"/>
        <v>237717.166666666</v>
      </c>
      <c r="I170" s="220">
        <f t="shared" si="79"/>
        <v>63857.6666666663</v>
      </c>
      <c r="J170" s="916">
        <v>13487.8533333333</v>
      </c>
      <c r="K170" s="916">
        <f t="shared" si="80"/>
        <v>19017.3733333333</v>
      </c>
      <c r="L170" s="916">
        <f t="shared" si="81"/>
        <v>5529.52</v>
      </c>
      <c r="M170" s="916">
        <v>2313.575</v>
      </c>
      <c r="N170" s="916">
        <v>3982.21458333333</v>
      </c>
      <c r="O170" s="916">
        <f t="shared" si="83"/>
        <v>1668.63958333333</v>
      </c>
      <c r="P170" s="916">
        <f t="shared" si="84"/>
        <v>228208.48</v>
      </c>
      <c r="Q170" s="916">
        <f t="shared" si="85"/>
        <v>47786.575</v>
      </c>
    </row>
    <row r="171" customHeight="1" spans="1:17">
      <c r="A171" s="27">
        <v>33</v>
      </c>
      <c r="B171" s="11" t="s">
        <v>366</v>
      </c>
      <c r="C171" s="12" t="s">
        <v>362</v>
      </c>
      <c r="D171" s="15" t="s">
        <v>375</v>
      </c>
      <c r="E171" s="226">
        <v>173859.5</v>
      </c>
      <c r="F171" s="921">
        <v>159288.583333333</v>
      </c>
      <c r="G171" s="220">
        <v>78428.5833333333</v>
      </c>
      <c r="H171" s="220">
        <f t="shared" si="78"/>
        <v>237717.166666666</v>
      </c>
      <c r="I171" s="220">
        <f t="shared" si="79"/>
        <v>63857.6666666663</v>
      </c>
      <c r="J171" s="916">
        <v>13487.8533333333</v>
      </c>
      <c r="K171" s="916">
        <f t="shared" si="80"/>
        <v>19017.3733333333</v>
      </c>
      <c r="L171" s="916">
        <f t="shared" si="81"/>
        <v>5529.52</v>
      </c>
      <c r="M171" s="916"/>
      <c r="N171" s="916"/>
      <c r="O171" s="916">
        <f t="shared" si="83"/>
        <v>0</v>
      </c>
      <c r="P171" s="916">
        <f t="shared" si="84"/>
        <v>228208.48</v>
      </c>
      <c r="Q171" s="916">
        <f t="shared" si="85"/>
        <v>0</v>
      </c>
    </row>
    <row r="172" customHeight="1" spans="1:17">
      <c r="A172" s="27">
        <v>34</v>
      </c>
      <c r="B172" s="11" t="s">
        <v>367</v>
      </c>
      <c r="C172" s="12" t="s">
        <v>362</v>
      </c>
      <c r="D172" s="15" t="s">
        <v>388</v>
      </c>
      <c r="E172" s="226">
        <v>168598.166666667</v>
      </c>
      <c r="F172" s="921">
        <v>155678.666666667</v>
      </c>
      <c r="G172" s="220">
        <v>76055.1666666667</v>
      </c>
      <c r="H172" s="220">
        <f t="shared" si="78"/>
        <v>231733.833333334</v>
      </c>
      <c r="I172" s="220">
        <f t="shared" si="79"/>
        <v>63135.6666666667</v>
      </c>
      <c r="J172" s="916">
        <v>13066.9466666667</v>
      </c>
      <c r="K172" s="916">
        <f t="shared" si="80"/>
        <v>18538.7066666667</v>
      </c>
      <c r="L172" s="916">
        <f t="shared" si="81"/>
        <v>5471.76</v>
      </c>
      <c r="M172" s="916"/>
      <c r="N172" s="916"/>
      <c r="O172" s="916">
        <f t="shared" si="83"/>
        <v>0</v>
      </c>
      <c r="P172" s="916">
        <f t="shared" si="84"/>
        <v>222464.48</v>
      </c>
      <c r="Q172" s="916">
        <f t="shared" si="85"/>
        <v>0</v>
      </c>
    </row>
    <row r="173" customHeight="1" spans="1:17">
      <c r="A173" s="27">
        <v>35</v>
      </c>
      <c r="B173" s="11" t="s">
        <v>369</v>
      </c>
      <c r="C173" s="12" t="s">
        <v>362</v>
      </c>
      <c r="D173" s="15" t="s">
        <v>388</v>
      </c>
      <c r="E173" s="226">
        <v>168598.166666667</v>
      </c>
      <c r="F173" s="921">
        <v>155678.666666667</v>
      </c>
      <c r="G173" s="220">
        <v>76055.1666666667</v>
      </c>
      <c r="H173" s="220">
        <f t="shared" si="78"/>
        <v>231733.833333334</v>
      </c>
      <c r="I173" s="220">
        <f t="shared" si="79"/>
        <v>63135.6666666667</v>
      </c>
      <c r="J173" s="916">
        <v>13066.9466666667</v>
      </c>
      <c r="K173" s="916">
        <f t="shared" si="80"/>
        <v>18538.7066666667</v>
      </c>
      <c r="L173" s="916">
        <f t="shared" si="81"/>
        <v>5471.76</v>
      </c>
      <c r="M173" s="916"/>
      <c r="N173" s="916"/>
      <c r="O173" s="916">
        <f t="shared" si="83"/>
        <v>0</v>
      </c>
      <c r="P173" s="916">
        <f t="shared" si="84"/>
        <v>222464.48</v>
      </c>
      <c r="Q173" s="916">
        <f t="shared" si="85"/>
        <v>0</v>
      </c>
    </row>
    <row r="174" customHeight="1" spans="1:17">
      <c r="A174" s="27">
        <v>36</v>
      </c>
      <c r="B174" s="14" t="s">
        <v>370</v>
      </c>
      <c r="C174" s="12" t="s">
        <v>362</v>
      </c>
      <c r="D174" s="15" t="s">
        <v>388</v>
      </c>
      <c r="E174" s="226">
        <v>168598.166666667</v>
      </c>
      <c r="F174" s="921">
        <v>155678.666666667</v>
      </c>
      <c r="G174" s="220">
        <v>76055.1666666667</v>
      </c>
      <c r="H174" s="220">
        <f t="shared" si="78"/>
        <v>231733.833333334</v>
      </c>
      <c r="I174" s="220">
        <f t="shared" si="79"/>
        <v>63135.6666666667</v>
      </c>
      <c r="J174" s="916">
        <v>13066.9466666667</v>
      </c>
      <c r="K174" s="916">
        <f t="shared" si="80"/>
        <v>18538.7066666667</v>
      </c>
      <c r="L174" s="916">
        <f t="shared" si="81"/>
        <v>5471.76</v>
      </c>
      <c r="M174" s="916"/>
      <c r="N174" s="916"/>
      <c r="O174" s="916">
        <f t="shared" si="83"/>
        <v>0</v>
      </c>
      <c r="P174" s="916">
        <f t="shared" si="84"/>
        <v>222464.48</v>
      </c>
      <c r="Q174" s="916">
        <f t="shared" si="85"/>
        <v>0</v>
      </c>
    </row>
    <row r="175" customHeight="1" spans="1:17">
      <c r="A175" s="27">
        <v>37</v>
      </c>
      <c r="B175" s="11" t="s">
        <v>371</v>
      </c>
      <c r="C175" s="12" t="s">
        <v>362</v>
      </c>
      <c r="D175" s="15" t="s">
        <v>388</v>
      </c>
      <c r="E175" s="226">
        <v>168598.166666667</v>
      </c>
      <c r="F175" s="921">
        <v>155678.666666667</v>
      </c>
      <c r="G175" s="220">
        <v>76055.1666666667</v>
      </c>
      <c r="H175" s="220">
        <f t="shared" si="78"/>
        <v>231733.833333334</v>
      </c>
      <c r="I175" s="220">
        <f t="shared" si="79"/>
        <v>63135.6666666667</v>
      </c>
      <c r="J175" s="916">
        <v>13066.9466666667</v>
      </c>
      <c r="K175" s="916">
        <f t="shared" si="80"/>
        <v>18538.7066666667</v>
      </c>
      <c r="L175" s="916">
        <f t="shared" si="81"/>
        <v>5471.76</v>
      </c>
      <c r="M175" s="916"/>
      <c r="N175" s="916"/>
      <c r="O175" s="916">
        <f t="shared" si="83"/>
        <v>0</v>
      </c>
      <c r="P175" s="916">
        <f t="shared" si="84"/>
        <v>222464.48</v>
      </c>
      <c r="Q175" s="916">
        <f t="shared" si="85"/>
        <v>0</v>
      </c>
    </row>
    <row r="176" customHeight="1" spans="1:17">
      <c r="A176" s="27">
        <v>38</v>
      </c>
      <c r="B176" s="18" t="s">
        <v>372</v>
      </c>
      <c r="C176" s="12" t="s">
        <v>362</v>
      </c>
      <c r="D176" s="15" t="s">
        <v>388</v>
      </c>
      <c r="E176" s="226">
        <v>168598.166666667</v>
      </c>
      <c r="F176" s="921">
        <v>155678.666666667</v>
      </c>
      <c r="G176" s="220">
        <v>76055.1666666667</v>
      </c>
      <c r="H176" s="220">
        <f t="shared" si="78"/>
        <v>231733.833333334</v>
      </c>
      <c r="I176" s="220">
        <f t="shared" si="79"/>
        <v>63135.6666666667</v>
      </c>
      <c r="J176" s="916">
        <v>13066.9466666667</v>
      </c>
      <c r="K176" s="916">
        <f t="shared" si="80"/>
        <v>18538.7066666667</v>
      </c>
      <c r="L176" s="916">
        <f t="shared" si="81"/>
        <v>5471.76</v>
      </c>
      <c r="M176" s="916"/>
      <c r="N176" s="916"/>
      <c r="O176" s="916">
        <f t="shared" si="83"/>
        <v>0</v>
      </c>
      <c r="P176" s="916">
        <f t="shared" si="84"/>
        <v>222464.48</v>
      </c>
      <c r="Q176" s="916">
        <f t="shared" si="85"/>
        <v>0</v>
      </c>
    </row>
    <row r="177" customHeight="1" spans="1:17">
      <c r="A177" s="27">
        <v>39</v>
      </c>
      <c r="B177" s="18" t="s">
        <v>359</v>
      </c>
      <c r="C177" s="12" t="s">
        <v>362</v>
      </c>
      <c r="D177" s="15" t="s">
        <v>388</v>
      </c>
      <c r="E177" s="226">
        <v>168598.166666667</v>
      </c>
      <c r="F177" s="921">
        <v>155678.666666667</v>
      </c>
      <c r="G177" s="220">
        <v>76055.1666666667</v>
      </c>
      <c r="H177" s="220">
        <f t="shared" si="78"/>
        <v>231733.833333334</v>
      </c>
      <c r="I177" s="220">
        <f t="shared" si="79"/>
        <v>63135.6666666667</v>
      </c>
      <c r="J177" s="916">
        <v>13066.9466666667</v>
      </c>
      <c r="K177" s="916">
        <f t="shared" si="80"/>
        <v>18538.7066666667</v>
      </c>
      <c r="L177" s="916">
        <f t="shared" si="81"/>
        <v>5471.76</v>
      </c>
      <c r="M177" s="916"/>
      <c r="N177" s="916"/>
      <c r="O177" s="916">
        <f t="shared" si="83"/>
        <v>0</v>
      </c>
      <c r="P177" s="916">
        <f t="shared" si="84"/>
        <v>222464.48</v>
      </c>
      <c r="Q177" s="916">
        <f t="shared" si="85"/>
        <v>0</v>
      </c>
    </row>
    <row r="178" customHeight="1" spans="1:17">
      <c r="A178" s="27">
        <v>40</v>
      </c>
      <c r="B178" s="11" t="s">
        <v>373</v>
      </c>
      <c r="C178" s="12" t="s">
        <v>374</v>
      </c>
      <c r="D178" s="15" t="s">
        <v>510</v>
      </c>
      <c r="E178" s="85">
        <v>158075.5</v>
      </c>
      <c r="F178" s="921">
        <v>148459</v>
      </c>
      <c r="G178" s="220">
        <v>71308.3333333333</v>
      </c>
      <c r="H178" s="220">
        <f t="shared" si="78"/>
        <v>219767.333333333</v>
      </c>
      <c r="I178" s="220">
        <f t="shared" si="79"/>
        <v>61691.8333333333</v>
      </c>
      <c r="J178" s="916">
        <v>12225.1333333333</v>
      </c>
      <c r="K178" s="916">
        <f t="shared" si="80"/>
        <v>17581.3866666667</v>
      </c>
      <c r="L178" s="916">
        <f t="shared" si="81"/>
        <v>5356.25333333336</v>
      </c>
      <c r="M178" s="916"/>
      <c r="N178" s="916"/>
      <c r="O178" s="916">
        <f t="shared" si="83"/>
        <v>0</v>
      </c>
      <c r="P178" s="916">
        <f t="shared" si="84"/>
        <v>210976.64</v>
      </c>
      <c r="Q178" s="916">
        <f t="shared" si="85"/>
        <v>0</v>
      </c>
    </row>
    <row r="179" customHeight="1" spans="1:17">
      <c r="A179" s="27">
        <v>41</v>
      </c>
      <c r="B179" s="11" t="s">
        <v>376</v>
      </c>
      <c r="C179" s="12" t="s">
        <v>374</v>
      </c>
      <c r="D179" s="15" t="s">
        <v>510</v>
      </c>
      <c r="E179" s="85">
        <v>158075.5</v>
      </c>
      <c r="F179" s="921">
        <v>148459</v>
      </c>
      <c r="G179" s="220">
        <v>71308.3333333333</v>
      </c>
      <c r="H179" s="220">
        <f t="shared" si="78"/>
        <v>219767.333333333</v>
      </c>
      <c r="I179" s="220">
        <f t="shared" si="79"/>
        <v>61691.8333333333</v>
      </c>
      <c r="J179" s="916">
        <v>12225.1333333333</v>
      </c>
      <c r="K179" s="916">
        <f t="shared" si="80"/>
        <v>17581.3866666667</v>
      </c>
      <c r="L179" s="916">
        <f t="shared" si="81"/>
        <v>5356.25333333336</v>
      </c>
      <c r="M179" s="916"/>
      <c r="N179" s="916"/>
      <c r="O179" s="916">
        <f t="shared" si="83"/>
        <v>0</v>
      </c>
      <c r="P179" s="916">
        <f t="shared" si="84"/>
        <v>210976.64</v>
      </c>
      <c r="Q179" s="916">
        <f t="shared" si="85"/>
        <v>0</v>
      </c>
    </row>
    <row r="180" customHeight="1" spans="1:17">
      <c r="A180" s="27">
        <v>42</v>
      </c>
      <c r="B180" s="18" t="s">
        <v>377</v>
      </c>
      <c r="C180" s="12" t="s">
        <v>374</v>
      </c>
      <c r="D180" s="15" t="s">
        <v>381</v>
      </c>
      <c r="E180" s="85">
        <v>163336.833333333</v>
      </c>
      <c r="F180" s="921">
        <v>152068.833333333</v>
      </c>
      <c r="G180" s="220">
        <v>73681.75</v>
      </c>
      <c r="H180" s="220">
        <f t="shared" si="78"/>
        <v>225750.583333333</v>
      </c>
      <c r="I180" s="220">
        <f t="shared" si="79"/>
        <v>62413.75</v>
      </c>
      <c r="J180" s="916">
        <v>12646.04</v>
      </c>
      <c r="K180" s="916">
        <f t="shared" si="80"/>
        <v>18060.0466666666</v>
      </c>
      <c r="L180" s="916">
        <f t="shared" si="81"/>
        <v>5414.00666666664</v>
      </c>
      <c r="M180" s="916"/>
      <c r="N180" s="916"/>
      <c r="O180" s="916">
        <f t="shared" si="83"/>
        <v>0</v>
      </c>
      <c r="P180" s="916">
        <f t="shared" si="84"/>
        <v>216720.56</v>
      </c>
      <c r="Q180" s="916">
        <f t="shared" si="85"/>
        <v>0</v>
      </c>
    </row>
    <row r="181" customHeight="1" spans="1:17">
      <c r="A181" s="27">
        <v>43</v>
      </c>
      <c r="B181" s="11" t="s">
        <v>379</v>
      </c>
      <c r="C181" s="12" t="s">
        <v>393</v>
      </c>
      <c r="D181" s="15" t="s">
        <v>511</v>
      </c>
      <c r="E181" s="85">
        <v>152814.166666667</v>
      </c>
      <c r="F181" s="921">
        <v>144849.083333333</v>
      </c>
      <c r="G181" s="220">
        <v>68934.9166666667</v>
      </c>
      <c r="H181" s="220">
        <f t="shared" si="78"/>
        <v>213784</v>
      </c>
      <c r="I181" s="220">
        <f t="shared" si="79"/>
        <v>60969.8333333327</v>
      </c>
      <c r="J181" s="916">
        <v>12225.1333333333</v>
      </c>
      <c r="K181" s="916">
        <f t="shared" si="80"/>
        <v>17102.72</v>
      </c>
      <c r="L181" s="916">
        <f t="shared" si="81"/>
        <v>4877.58666666668</v>
      </c>
      <c r="M181" s="916"/>
      <c r="N181" s="916"/>
      <c r="O181" s="916">
        <f t="shared" si="83"/>
        <v>0</v>
      </c>
      <c r="P181" s="916">
        <f t="shared" si="84"/>
        <v>205232.64</v>
      </c>
      <c r="Q181" s="916">
        <f t="shared" si="85"/>
        <v>0</v>
      </c>
    </row>
    <row r="182" customHeight="1" spans="1:17">
      <c r="A182" s="27">
        <v>44</v>
      </c>
      <c r="B182" s="11" t="s">
        <v>382</v>
      </c>
      <c r="C182" s="12" t="s">
        <v>390</v>
      </c>
      <c r="D182" s="15" t="s">
        <v>571</v>
      </c>
      <c r="E182" s="85">
        <v>94145.75</v>
      </c>
      <c r="F182" s="921">
        <v>101053.25</v>
      </c>
      <c r="G182" s="220">
        <v>45303.5</v>
      </c>
      <c r="H182" s="220">
        <f t="shared" si="78"/>
        <v>146356.75</v>
      </c>
      <c r="I182" s="220">
        <f t="shared" si="79"/>
        <v>52211</v>
      </c>
      <c r="J182" s="916">
        <v>7327.84</v>
      </c>
      <c r="K182" s="916">
        <f t="shared" si="80"/>
        <v>11708.54</v>
      </c>
      <c r="L182" s="916">
        <f t="shared" si="81"/>
        <v>4380.7</v>
      </c>
      <c r="M182" s="916"/>
      <c r="N182" s="916"/>
      <c r="O182" s="916">
        <f t="shared" si="83"/>
        <v>0</v>
      </c>
      <c r="P182" s="916">
        <f t="shared" si="84"/>
        <v>140502.48</v>
      </c>
      <c r="Q182" s="916">
        <f t="shared" si="85"/>
        <v>0</v>
      </c>
    </row>
    <row r="183" customHeight="1" spans="1:17">
      <c r="A183" s="27">
        <v>45</v>
      </c>
      <c r="B183" s="11" t="s">
        <v>383</v>
      </c>
      <c r="C183" s="12" t="s">
        <v>390</v>
      </c>
      <c r="D183" s="15" t="s">
        <v>571</v>
      </c>
      <c r="E183" s="85">
        <v>94145.75</v>
      </c>
      <c r="F183" s="921">
        <v>101053.25</v>
      </c>
      <c r="G183" s="220">
        <v>45303.5</v>
      </c>
      <c r="H183" s="220">
        <f t="shared" si="78"/>
        <v>146356.75</v>
      </c>
      <c r="I183" s="220">
        <f t="shared" si="79"/>
        <v>52211</v>
      </c>
      <c r="J183" s="916">
        <v>7327.84</v>
      </c>
      <c r="K183" s="916">
        <f t="shared" si="80"/>
        <v>11708.54</v>
      </c>
      <c r="L183" s="916">
        <f t="shared" si="81"/>
        <v>4380.7</v>
      </c>
      <c r="M183" s="916"/>
      <c r="N183" s="916"/>
      <c r="O183" s="916">
        <f t="shared" si="83"/>
        <v>0</v>
      </c>
      <c r="P183" s="916">
        <f t="shared" si="84"/>
        <v>140502.48</v>
      </c>
      <c r="Q183" s="916">
        <f t="shared" si="85"/>
        <v>0</v>
      </c>
    </row>
    <row r="184" customHeight="1" spans="1:17">
      <c r="A184" s="27">
        <v>46</v>
      </c>
      <c r="B184" s="11" t="s">
        <v>384</v>
      </c>
      <c r="C184" s="12" t="s">
        <v>390</v>
      </c>
      <c r="D184" s="15" t="s">
        <v>571</v>
      </c>
      <c r="E184" s="85">
        <v>94145.75</v>
      </c>
      <c r="F184" s="921">
        <v>101053.25</v>
      </c>
      <c r="G184" s="220">
        <v>45303.5</v>
      </c>
      <c r="H184" s="220">
        <f t="shared" si="78"/>
        <v>146356.75</v>
      </c>
      <c r="I184" s="220">
        <f t="shared" si="79"/>
        <v>52211</v>
      </c>
      <c r="J184" s="916">
        <v>7327.84</v>
      </c>
      <c r="K184" s="916">
        <f t="shared" si="80"/>
        <v>11708.54</v>
      </c>
      <c r="L184" s="916">
        <f t="shared" si="81"/>
        <v>4380.7</v>
      </c>
      <c r="M184" s="916"/>
      <c r="N184" s="916"/>
      <c r="O184" s="916">
        <f t="shared" si="83"/>
        <v>0</v>
      </c>
      <c r="P184" s="916">
        <f t="shared" si="84"/>
        <v>140502.48</v>
      </c>
      <c r="Q184" s="916">
        <f t="shared" si="85"/>
        <v>0</v>
      </c>
    </row>
    <row r="185" customHeight="1" spans="1:17">
      <c r="A185" s="27">
        <v>47</v>
      </c>
      <c r="B185" s="11" t="s">
        <v>385</v>
      </c>
      <c r="C185" s="12" t="s">
        <v>390</v>
      </c>
      <c r="D185" s="15" t="s">
        <v>571</v>
      </c>
      <c r="E185" s="85">
        <v>94145.75</v>
      </c>
      <c r="F185" s="921">
        <v>101053.25</v>
      </c>
      <c r="G185" s="220">
        <v>45303.5</v>
      </c>
      <c r="H185" s="220">
        <f t="shared" si="78"/>
        <v>146356.75</v>
      </c>
      <c r="I185" s="220">
        <f t="shared" si="79"/>
        <v>52211</v>
      </c>
      <c r="J185" s="916">
        <v>7327.84</v>
      </c>
      <c r="K185" s="916">
        <f t="shared" si="80"/>
        <v>11708.54</v>
      </c>
      <c r="L185" s="916">
        <f t="shared" si="81"/>
        <v>4380.7</v>
      </c>
      <c r="M185" s="916"/>
      <c r="N185" s="916"/>
      <c r="O185" s="916">
        <f t="shared" si="83"/>
        <v>0</v>
      </c>
      <c r="P185" s="916">
        <f t="shared" si="84"/>
        <v>140502.48</v>
      </c>
      <c r="Q185" s="916">
        <f t="shared" si="85"/>
        <v>0</v>
      </c>
    </row>
    <row r="186" customHeight="1" spans="1:17">
      <c r="A186" s="27">
        <v>48</v>
      </c>
      <c r="B186" s="11" t="s">
        <v>386</v>
      </c>
      <c r="C186" s="12" t="s">
        <v>390</v>
      </c>
      <c r="D186" s="15" t="s">
        <v>571</v>
      </c>
      <c r="E186" s="85">
        <v>94145.75</v>
      </c>
      <c r="F186" s="921">
        <v>101053.25</v>
      </c>
      <c r="G186" s="220">
        <v>45303.5</v>
      </c>
      <c r="H186" s="220">
        <f t="shared" si="78"/>
        <v>146356.75</v>
      </c>
      <c r="I186" s="220">
        <f t="shared" si="79"/>
        <v>52211</v>
      </c>
      <c r="J186" s="916">
        <v>7327.84</v>
      </c>
      <c r="K186" s="916">
        <f t="shared" si="80"/>
        <v>11708.54</v>
      </c>
      <c r="L186" s="916">
        <f t="shared" si="81"/>
        <v>4380.7</v>
      </c>
      <c r="M186" s="916"/>
      <c r="N186" s="916"/>
      <c r="O186" s="916">
        <f t="shared" si="83"/>
        <v>0</v>
      </c>
      <c r="P186" s="916">
        <f t="shared" si="84"/>
        <v>140502.48</v>
      </c>
      <c r="Q186" s="916">
        <f t="shared" si="85"/>
        <v>0</v>
      </c>
    </row>
    <row r="187" customHeight="1" spans="1:17">
      <c r="A187" s="27">
        <v>49</v>
      </c>
      <c r="B187" s="18" t="s">
        <v>387</v>
      </c>
      <c r="C187" s="12" t="s">
        <v>390</v>
      </c>
      <c r="D187" s="15" t="s">
        <v>571</v>
      </c>
      <c r="E187" s="85">
        <v>94145.75</v>
      </c>
      <c r="F187" s="921">
        <v>101053.25</v>
      </c>
      <c r="G187" s="220">
        <v>45303.5</v>
      </c>
      <c r="H187" s="220">
        <f t="shared" si="78"/>
        <v>146356.75</v>
      </c>
      <c r="I187" s="220">
        <f t="shared" si="79"/>
        <v>52211</v>
      </c>
      <c r="J187" s="916">
        <v>7327.84</v>
      </c>
      <c r="K187" s="916">
        <f t="shared" si="80"/>
        <v>11708.54</v>
      </c>
      <c r="L187" s="916">
        <f t="shared" si="81"/>
        <v>4380.7</v>
      </c>
      <c r="M187" s="916"/>
      <c r="N187" s="916"/>
      <c r="O187" s="916">
        <f t="shared" si="83"/>
        <v>0</v>
      </c>
      <c r="P187" s="916">
        <f t="shared" si="84"/>
        <v>140502.48</v>
      </c>
      <c r="Q187" s="916">
        <f t="shared" si="85"/>
        <v>0</v>
      </c>
    </row>
    <row r="188" customHeight="1" spans="1:17">
      <c r="A188" s="27">
        <v>50</v>
      </c>
      <c r="B188" s="18" t="s">
        <v>389</v>
      </c>
      <c r="C188" s="12" t="s">
        <v>390</v>
      </c>
      <c r="D188" s="15" t="s">
        <v>571</v>
      </c>
      <c r="E188" s="85">
        <v>94145.75</v>
      </c>
      <c r="F188" s="921">
        <v>101053.25</v>
      </c>
      <c r="G188" s="220">
        <v>45303.5</v>
      </c>
      <c r="H188" s="220">
        <f t="shared" si="78"/>
        <v>146356.75</v>
      </c>
      <c r="I188" s="220">
        <f t="shared" si="79"/>
        <v>52211</v>
      </c>
      <c r="J188" s="916">
        <v>7327.84</v>
      </c>
      <c r="K188" s="916">
        <f t="shared" si="80"/>
        <v>11708.54</v>
      </c>
      <c r="L188" s="916">
        <f t="shared" si="81"/>
        <v>4380.7</v>
      </c>
      <c r="M188" s="916"/>
      <c r="N188" s="916"/>
      <c r="O188" s="916">
        <f t="shared" si="83"/>
        <v>0</v>
      </c>
      <c r="P188" s="916">
        <f t="shared" si="84"/>
        <v>140502.48</v>
      </c>
      <c r="Q188" s="916">
        <f t="shared" si="85"/>
        <v>0</v>
      </c>
    </row>
    <row r="189" customHeight="1" spans="1:17">
      <c r="A189" s="27">
        <v>51</v>
      </c>
      <c r="B189" s="11" t="s">
        <v>572</v>
      </c>
      <c r="C189" s="12" t="s">
        <v>393</v>
      </c>
      <c r="D189" s="15" t="s">
        <v>571</v>
      </c>
      <c r="E189" s="85">
        <v>94145.75</v>
      </c>
      <c r="F189" s="921">
        <v>101053.25</v>
      </c>
      <c r="G189" s="220">
        <v>45303.5</v>
      </c>
      <c r="H189" s="220">
        <f t="shared" si="78"/>
        <v>146356.75</v>
      </c>
      <c r="I189" s="220">
        <f t="shared" si="79"/>
        <v>52211</v>
      </c>
      <c r="J189" s="916"/>
      <c r="K189" s="916">
        <f t="shared" si="80"/>
        <v>11708.54</v>
      </c>
      <c r="L189" s="916">
        <f t="shared" si="81"/>
        <v>11708.54</v>
      </c>
      <c r="M189" s="916"/>
      <c r="N189" s="916"/>
      <c r="O189" s="916">
        <f t="shared" si="83"/>
        <v>0</v>
      </c>
      <c r="P189" s="916">
        <f t="shared" si="84"/>
        <v>140502.48</v>
      </c>
      <c r="Q189" s="916">
        <f t="shared" si="85"/>
        <v>0</v>
      </c>
    </row>
    <row r="190" customHeight="1" spans="1:17">
      <c r="A190" s="27">
        <v>52</v>
      </c>
      <c r="B190" s="11" t="s">
        <v>392</v>
      </c>
      <c r="C190" s="12" t="s">
        <v>393</v>
      </c>
      <c r="D190" s="15" t="s">
        <v>571</v>
      </c>
      <c r="E190" s="85">
        <v>94145.75</v>
      </c>
      <c r="F190" s="921">
        <v>101053.25</v>
      </c>
      <c r="G190" s="220">
        <v>45303.5</v>
      </c>
      <c r="H190" s="220">
        <f t="shared" si="78"/>
        <v>146356.75</v>
      </c>
      <c r="I190" s="220">
        <f t="shared" si="79"/>
        <v>52211</v>
      </c>
      <c r="J190" s="916">
        <v>7327.84</v>
      </c>
      <c r="K190" s="916">
        <f t="shared" si="80"/>
        <v>11708.54</v>
      </c>
      <c r="L190" s="916">
        <f t="shared" si="81"/>
        <v>4380.7</v>
      </c>
      <c r="M190" s="916"/>
      <c r="N190" s="916"/>
      <c r="O190" s="916">
        <f t="shared" si="83"/>
        <v>0</v>
      </c>
      <c r="P190" s="916">
        <f t="shared" si="84"/>
        <v>140502.48</v>
      </c>
      <c r="Q190" s="916">
        <f t="shared" si="85"/>
        <v>0</v>
      </c>
    </row>
    <row r="191" customHeight="1" spans="1:17">
      <c r="A191" s="27">
        <v>53</v>
      </c>
      <c r="B191" s="18" t="s">
        <v>360</v>
      </c>
      <c r="C191" s="12" t="s">
        <v>395</v>
      </c>
      <c r="D191" s="15" t="s">
        <v>573</v>
      </c>
      <c r="E191" s="85">
        <v>91598</v>
      </c>
      <c r="F191" s="921">
        <v>99486.9166666667</v>
      </c>
      <c r="G191" s="220">
        <v>44008.75</v>
      </c>
      <c r="H191" s="220">
        <f t="shared" si="78"/>
        <v>143495.666666667</v>
      </c>
      <c r="I191" s="220">
        <f t="shared" si="79"/>
        <v>51897.6666666667</v>
      </c>
      <c r="J191" s="916">
        <v>7124.02</v>
      </c>
      <c r="K191" s="916">
        <f t="shared" si="80"/>
        <v>11479.6533333333</v>
      </c>
      <c r="L191" s="916">
        <f t="shared" si="81"/>
        <v>4355.63333333334</v>
      </c>
      <c r="M191" s="916"/>
      <c r="N191" s="916"/>
      <c r="O191" s="916">
        <f t="shared" si="83"/>
        <v>0</v>
      </c>
      <c r="P191" s="916">
        <f t="shared" si="84"/>
        <v>137755.84</v>
      </c>
      <c r="Q191" s="916">
        <f t="shared" si="85"/>
        <v>0</v>
      </c>
    </row>
    <row r="192" customHeight="1" spans="1:17">
      <c r="A192" s="27">
        <v>54</v>
      </c>
      <c r="B192" s="18" t="s">
        <v>394</v>
      </c>
      <c r="C192" s="12" t="s">
        <v>395</v>
      </c>
      <c r="D192" s="15" t="s">
        <v>398</v>
      </c>
      <c r="E192" s="85">
        <v>86502.5</v>
      </c>
      <c r="F192" s="921">
        <v>96354.25</v>
      </c>
      <c r="G192" s="220">
        <v>41419.25</v>
      </c>
      <c r="H192" s="220">
        <f t="shared" si="78"/>
        <v>137773.5</v>
      </c>
      <c r="I192" s="220">
        <f t="shared" si="79"/>
        <v>51271</v>
      </c>
      <c r="J192" s="916"/>
      <c r="K192" s="916">
        <f t="shared" si="80"/>
        <v>11021.88</v>
      </c>
      <c r="L192" s="916">
        <f t="shared" si="81"/>
        <v>11021.88</v>
      </c>
      <c r="M192" s="916"/>
      <c r="N192" s="916"/>
      <c r="O192" s="916">
        <f t="shared" si="83"/>
        <v>0</v>
      </c>
      <c r="P192" s="916">
        <f t="shared" si="84"/>
        <v>132262.56</v>
      </c>
      <c r="Q192" s="916">
        <f t="shared" si="85"/>
        <v>0</v>
      </c>
    </row>
    <row r="193" customHeight="1" spans="1:17">
      <c r="A193" s="27">
        <v>55</v>
      </c>
      <c r="B193" s="18" t="s">
        <v>397</v>
      </c>
      <c r="C193" s="12" t="s">
        <v>395</v>
      </c>
      <c r="D193" s="15" t="s">
        <v>400</v>
      </c>
      <c r="E193" s="85">
        <v>83933</v>
      </c>
      <c r="F193" s="921">
        <v>94788.1666666667</v>
      </c>
      <c r="G193" s="220">
        <v>40124.5</v>
      </c>
      <c r="H193" s="220">
        <f t="shared" si="78"/>
        <v>134912.666666667</v>
      </c>
      <c r="I193" s="220">
        <f t="shared" si="79"/>
        <v>50979.6666666667</v>
      </c>
      <c r="J193" s="916">
        <v>6920.2</v>
      </c>
      <c r="K193" s="916">
        <f t="shared" si="80"/>
        <v>10793.0133333333</v>
      </c>
      <c r="L193" s="916">
        <f t="shared" si="81"/>
        <v>3872.81333333333</v>
      </c>
      <c r="M193" s="916"/>
      <c r="N193" s="916"/>
      <c r="O193" s="916">
        <f t="shared" si="83"/>
        <v>0</v>
      </c>
      <c r="P193" s="916">
        <f t="shared" si="84"/>
        <v>129516.16</v>
      </c>
      <c r="Q193" s="916">
        <f t="shared" si="85"/>
        <v>0</v>
      </c>
    </row>
    <row r="194" customHeight="1" spans="1:17">
      <c r="A194" s="27">
        <v>56</v>
      </c>
      <c r="B194" s="18" t="s">
        <v>401</v>
      </c>
      <c r="C194" s="12" t="s">
        <v>402</v>
      </c>
      <c r="D194" s="15" t="s">
        <v>513</v>
      </c>
      <c r="E194" s="85">
        <v>78733.8333333333</v>
      </c>
      <c r="F194" s="909">
        <v>91578.25</v>
      </c>
      <c r="G194" s="4">
        <v>37471.1666666667</v>
      </c>
      <c r="H194" s="220">
        <f t="shared" si="78"/>
        <v>129049.416666667</v>
      </c>
      <c r="I194" s="220">
        <f t="shared" si="79"/>
        <v>50315.5833333334</v>
      </c>
      <c r="J194" s="916">
        <v>6123.26</v>
      </c>
      <c r="K194" s="916">
        <f t="shared" si="80"/>
        <v>10323.9533333333</v>
      </c>
      <c r="L194" s="916">
        <f t="shared" si="81"/>
        <v>4200.69333333334</v>
      </c>
      <c r="M194" s="916"/>
      <c r="N194" s="916"/>
      <c r="O194" s="916">
        <f t="shared" si="83"/>
        <v>0</v>
      </c>
      <c r="P194" s="916">
        <f t="shared" si="84"/>
        <v>123887.44</v>
      </c>
      <c r="Q194" s="916">
        <f t="shared" si="85"/>
        <v>0</v>
      </c>
    </row>
    <row r="195" customHeight="1" spans="1:17">
      <c r="A195" s="27">
        <v>57</v>
      </c>
      <c r="B195" s="18" t="s">
        <v>404</v>
      </c>
      <c r="C195" s="12" t="s">
        <v>402</v>
      </c>
      <c r="D195" s="15" t="s">
        <v>513</v>
      </c>
      <c r="E195" s="85">
        <v>78733.8333333333</v>
      </c>
      <c r="F195" s="909">
        <v>91578.25</v>
      </c>
      <c r="G195" s="4">
        <v>37471.1666666667</v>
      </c>
      <c r="H195" s="220">
        <f t="shared" si="78"/>
        <v>129049.416666667</v>
      </c>
      <c r="I195" s="220">
        <f t="shared" si="79"/>
        <v>50315.5833333334</v>
      </c>
      <c r="J195" s="916">
        <v>6123.26</v>
      </c>
      <c r="K195" s="916">
        <f t="shared" si="80"/>
        <v>10323.9533333333</v>
      </c>
      <c r="L195" s="916">
        <f t="shared" si="81"/>
        <v>4200.69333333334</v>
      </c>
      <c r="M195" s="916"/>
      <c r="N195" s="916"/>
      <c r="O195" s="916">
        <f t="shared" si="83"/>
        <v>0</v>
      </c>
      <c r="P195" s="916">
        <f t="shared" si="84"/>
        <v>123887.44</v>
      </c>
      <c r="Q195" s="916">
        <f t="shared" si="85"/>
        <v>0</v>
      </c>
    </row>
    <row r="196" customHeight="1" spans="1:17">
      <c r="A196" s="27">
        <v>58</v>
      </c>
      <c r="B196" s="18" t="s">
        <v>405</v>
      </c>
      <c r="C196" s="12" t="s">
        <v>402</v>
      </c>
      <c r="D196" s="15" t="s">
        <v>513</v>
      </c>
      <c r="E196" s="85">
        <v>78733.8333333333</v>
      </c>
      <c r="F196" s="909">
        <v>91578.25</v>
      </c>
      <c r="G196" s="4">
        <v>37471.1666666667</v>
      </c>
      <c r="H196" s="220">
        <f t="shared" si="78"/>
        <v>129049.416666667</v>
      </c>
      <c r="I196" s="220">
        <f t="shared" si="79"/>
        <v>50315.5833333334</v>
      </c>
      <c r="J196" s="916">
        <v>6123.26</v>
      </c>
      <c r="K196" s="916">
        <f t="shared" si="80"/>
        <v>10323.9533333333</v>
      </c>
      <c r="L196" s="916">
        <f t="shared" si="81"/>
        <v>4200.69333333334</v>
      </c>
      <c r="M196" s="916"/>
      <c r="N196" s="916"/>
      <c r="O196" s="916">
        <f t="shared" si="83"/>
        <v>0</v>
      </c>
      <c r="P196" s="916">
        <f t="shared" si="84"/>
        <v>123887.44</v>
      </c>
      <c r="Q196" s="916">
        <f t="shared" si="85"/>
        <v>0</v>
      </c>
    </row>
    <row r="197" customHeight="1" spans="1:17">
      <c r="A197" s="27">
        <v>59</v>
      </c>
      <c r="B197" s="18" t="s">
        <v>406</v>
      </c>
      <c r="C197" s="12" t="s">
        <v>407</v>
      </c>
      <c r="D197" s="15" t="s">
        <v>396</v>
      </c>
      <c r="E197" s="85">
        <v>89050.25</v>
      </c>
      <c r="F197" s="909">
        <v>97920.6666666667</v>
      </c>
      <c r="G197" s="220">
        <v>42714</v>
      </c>
      <c r="H197" s="220">
        <f t="shared" si="78"/>
        <v>140634.666666667</v>
      </c>
      <c r="I197" s="220">
        <f t="shared" si="79"/>
        <v>51584.4166666667</v>
      </c>
      <c r="J197" s="916">
        <v>6920.2</v>
      </c>
      <c r="K197" s="916">
        <f t="shared" si="80"/>
        <v>11250.7733333333</v>
      </c>
      <c r="L197" s="916">
        <f t="shared" si="81"/>
        <v>4330.57333333333</v>
      </c>
      <c r="M197" s="916"/>
      <c r="N197" s="916"/>
      <c r="O197" s="916">
        <f t="shared" si="83"/>
        <v>0</v>
      </c>
      <c r="P197" s="916">
        <f t="shared" si="84"/>
        <v>135009.28</v>
      </c>
      <c r="Q197" s="916">
        <f t="shared" si="85"/>
        <v>0</v>
      </c>
    </row>
    <row r="198" customHeight="1" spans="1:17">
      <c r="A198" s="27">
        <v>60</v>
      </c>
      <c r="B198" s="18" t="s">
        <v>409</v>
      </c>
      <c r="C198" s="12" t="s">
        <v>407</v>
      </c>
      <c r="D198" s="15" t="s">
        <v>396</v>
      </c>
      <c r="E198" s="85">
        <v>89050.25</v>
      </c>
      <c r="F198" s="909">
        <v>97920.6666666667</v>
      </c>
      <c r="G198" s="220">
        <v>42714</v>
      </c>
      <c r="H198" s="220">
        <f t="shared" si="78"/>
        <v>140634.666666667</v>
      </c>
      <c r="I198" s="220">
        <f t="shared" si="79"/>
        <v>51584.4166666667</v>
      </c>
      <c r="J198" s="916">
        <v>6920.2</v>
      </c>
      <c r="K198" s="916">
        <f t="shared" si="80"/>
        <v>11250.7733333333</v>
      </c>
      <c r="L198" s="916">
        <f t="shared" si="81"/>
        <v>4330.57333333333</v>
      </c>
      <c r="M198" s="916"/>
      <c r="N198" s="916"/>
      <c r="O198" s="916">
        <f t="shared" si="83"/>
        <v>0</v>
      </c>
      <c r="P198" s="916">
        <f t="shared" si="84"/>
        <v>135009.28</v>
      </c>
      <c r="Q198" s="916">
        <f t="shared" si="85"/>
        <v>0</v>
      </c>
    </row>
    <row r="199" ht="30.75" customHeight="1" spans="1:17">
      <c r="A199" s="27"/>
      <c r="B199" s="8" t="s">
        <v>120</v>
      </c>
      <c r="C199" s="28" t="s">
        <v>574</v>
      </c>
      <c r="D199" s="29"/>
      <c r="E199" s="93">
        <f t="shared" ref="E199:Q199" si="86">SUM(E139:E198)</f>
        <v>14787756.9166667</v>
      </c>
      <c r="F199" s="912">
        <f t="shared" si="86"/>
        <v>12563688.5</v>
      </c>
      <c r="G199" s="93">
        <f t="shared" si="86"/>
        <v>6820067.08333333</v>
      </c>
      <c r="H199" s="93">
        <f t="shared" si="86"/>
        <v>19383755.5833333</v>
      </c>
      <c r="I199" s="93">
        <f t="shared" si="86"/>
        <v>4595998.66666666</v>
      </c>
      <c r="J199" s="93">
        <f t="shared" si="86"/>
        <v>1154618.35666667</v>
      </c>
      <c r="K199" s="93">
        <f t="shared" si="86"/>
        <v>1550700.44666667</v>
      </c>
      <c r="L199" s="93">
        <f t="shared" si="86"/>
        <v>396082.090000001</v>
      </c>
      <c r="M199" s="93">
        <f t="shared" si="86"/>
        <v>72300.4916666667</v>
      </c>
      <c r="N199" s="93">
        <f t="shared" si="86"/>
        <v>101993.847916667</v>
      </c>
      <c r="O199" s="93">
        <f t="shared" si="86"/>
        <v>29693.3562499999</v>
      </c>
      <c r="P199" s="93">
        <f t="shared" si="86"/>
        <v>18608405.36</v>
      </c>
      <c r="Q199" s="93">
        <f t="shared" si="86"/>
        <v>1223926.175</v>
      </c>
    </row>
    <row r="200" ht="30" customHeight="1" spans="1:17">
      <c r="A200" s="4"/>
      <c r="B200" s="30" t="s">
        <v>575</v>
      </c>
      <c r="C200" s="31">
        <f>C39+C46+C57+C62+C72+C81+C94+C102+C112+C123+C136+C199</f>
        <v>153</v>
      </c>
      <c r="D200" s="32"/>
      <c r="E200" s="227">
        <f t="shared" ref="E200:Q200" si="87">E199+E136+E123+E118+E112+E102+E94+E81+E72+E62+E57+E46+E39</f>
        <v>62694852.3336667</v>
      </c>
      <c r="F200" s="923">
        <f t="shared" si="87"/>
        <v>49444664.75</v>
      </c>
      <c r="G200" s="227">
        <f t="shared" si="87"/>
        <v>29012246.75</v>
      </c>
      <c r="H200" s="227">
        <f t="shared" si="87"/>
        <v>78456911.5</v>
      </c>
      <c r="I200" s="924">
        <f t="shared" si="87"/>
        <v>15762059.1663333</v>
      </c>
      <c r="J200" s="227">
        <f t="shared" si="87"/>
        <v>4754163.56</v>
      </c>
      <c r="K200" s="227">
        <f t="shared" si="87"/>
        <v>6046437.41333333</v>
      </c>
      <c r="L200" s="924">
        <f t="shared" si="87"/>
        <v>1292273.85333333</v>
      </c>
      <c r="M200" s="227">
        <f t="shared" si="87"/>
        <v>267480.25625</v>
      </c>
      <c r="N200" s="227">
        <f t="shared" si="87"/>
        <v>373109.295833333</v>
      </c>
      <c r="O200" s="924">
        <f t="shared" si="87"/>
        <v>105629.039583333</v>
      </c>
      <c r="P200" s="227">
        <f t="shared" si="87"/>
        <v>72557248.96</v>
      </c>
      <c r="Q200" s="227">
        <f t="shared" si="87"/>
        <v>4477311.55</v>
      </c>
    </row>
    <row r="201" s="1" customFormat="1" ht="35.25" customHeight="1" spans="1:16">
      <c r="A201" s="4"/>
      <c r="B201" s="30" t="s">
        <v>576</v>
      </c>
      <c r="C201" s="31">
        <v>22</v>
      </c>
      <c r="D201" s="32"/>
      <c r="E201" s="227">
        <v>6563729.25</v>
      </c>
      <c r="F201" s="227">
        <v>5346094.83333333</v>
      </c>
      <c r="G201" s="227">
        <v>3022887.41666667</v>
      </c>
      <c r="H201" s="227">
        <v>8368982.25</v>
      </c>
      <c r="I201" s="925">
        <v>1805253</v>
      </c>
      <c r="J201" s="227">
        <v>525098.34</v>
      </c>
      <c r="K201" s="227">
        <v>669518.58</v>
      </c>
      <c r="L201" s="924">
        <v>144420.24</v>
      </c>
      <c r="M201" s="227"/>
      <c r="P201" s="13"/>
    </row>
    <row r="202" ht="30" customHeight="1" spans="1:17">
      <c r="A202" s="4"/>
      <c r="B202" s="30" t="s">
        <v>577</v>
      </c>
      <c r="C202" s="31">
        <f>SUM(C200:C201)</f>
        <v>175</v>
      </c>
      <c r="D202" s="32"/>
      <c r="E202" s="227">
        <f t="shared" ref="E202:Q202" si="88">E200+E201</f>
        <v>69258581.5836667</v>
      </c>
      <c r="F202" s="227">
        <f t="shared" si="88"/>
        <v>54790759.5833333</v>
      </c>
      <c r="G202" s="227">
        <f t="shared" si="88"/>
        <v>32035134.1666667</v>
      </c>
      <c r="H202" s="227">
        <f t="shared" si="88"/>
        <v>86825893.75</v>
      </c>
      <c r="I202" s="227">
        <f t="shared" si="88"/>
        <v>17567312.1663333</v>
      </c>
      <c r="J202" s="227">
        <f t="shared" si="88"/>
        <v>5279261.9</v>
      </c>
      <c r="K202" s="227">
        <f t="shared" si="88"/>
        <v>6715955.99333333</v>
      </c>
      <c r="L202" s="227">
        <f t="shared" si="88"/>
        <v>1436694.09333333</v>
      </c>
      <c r="M202" s="227">
        <f t="shared" si="88"/>
        <v>267480.25625</v>
      </c>
      <c r="N202" s="227">
        <f t="shared" si="88"/>
        <v>373109.295833333</v>
      </c>
      <c r="O202" s="227">
        <f t="shared" si="88"/>
        <v>105629.039583333</v>
      </c>
      <c r="P202" s="227">
        <f t="shared" si="88"/>
        <v>72557248.96</v>
      </c>
      <c r="Q202" s="227">
        <f t="shared" si="88"/>
        <v>4477311.55</v>
      </c>
    </row>
    <row r="203" customHeight="1" spans="6:17">
      <c r="F203" s="1"/>
      <c r="I203" s="13"/>
      <c r="J203" s="13"/>
      <c r="K203" s="13"/>
      <c r="L203" s="13"/>
      <c r="M203" s="13"/>
      <c r="N203" s="13"/>
      <c r="O203" s="13"/>
      <c r="P203" s="13"/>
      <c r="Q203" s="13"/>
    </row>
    <row r="204" customHeight="1" spans="6:6">
      <c r="F204" s="1"/>
    </row>
    <row r="205" customHeight="1" spans="6:6">
      <c r="F205" s="1"/>
    </row>
    <row r="206" customHeight="1" spans="6:6">
      <c r="F206" s="1"/>
    </row>
    <row r="207" customHeight="1" spans="6:6">
      <c r="F207" s="1"/>
    </row>
    <row r="208" customHeight="1" spans="6:6">
      <c r="F208" s="1"/>
    </row>
    <row r="209" customHeight="1" spans="6:6">
      <c r="F209" s="1"/>
    </row>
    <row r="210" customHeight="1" spans="6:6">
      <c r="F210" s="1"/>
    </row>
    <row r="211" customHeight="1" spans="6:6">
      <c r="F211" s="1"/>
    </row>
    <row r="212" customHeight="1" spans="6:6">
      <c r="F212" s="1"/>
    </row>
    <row r="213" customHeight="1" spans="6:6">
      <c r="F213" s="1"/>
    </row>
    <row r="214" customHeight="1" spans="6:6">
      <c r="F214" s="1"/>
    </row>
    <row r="215" customHeight="1" spans="6:6">
      <c r="F215" s="1"/>
    </row>
    <row r="216" customHeight="1" spans="6:6">
      <c r="F216" s="1"/>
    </row>
    <row r="217" customHeight="1" spans="6:6">
      <c r="F217" s="1"/>
    </row>
    <row r="218" customHeight="1" spans="6:6">
      <c r="F218" s="1"/>
    </row>
    <row r="219" customHeight="1" spans="6:6">
      <c r="F219" s="1"/>
    </row>
    <row r="220" customHeight="1" spans="6:6">
      <c r="F220" s="1"/>
    </row>
    <row r="221" customHeight="1" spans="6:6">
      <c r="F221" s="1"/>
    </row>
    <row r="222" customHeight="1" spans="6:6">
      <c r="F222" s="1"/>
    </row>
    <row r="223" customHeight="1" spans="6:6">
      <c r="F223" s="1"/>
    </row>
    <row r="224" customHeight="1" spans="6:6">
      <c r="F224" s="1"/>
    </row>
    <row r="225" customHeight="1" spans="6:6">
      <c r="F225" s="1"/>
    </row>
    <row r="226" customHeight="1" spans="6:6">
      <c r="F226" s="1"/>
    </row>
    <row r="227" customHeight="1" spans="6:6">
      <c r="F227" s="1"/>
    </row>
    <row r="228" customHeight="1" spans="6:6">
      <c r="F228" s="1"/>
    </row>
    <row r="229" customHeight="1" spans="6:6">
      <c r="F229" s="1"/>
    </row>
    <row r="230" customHeight="1" spans="6:6">
      <c r="F230" s="1"/>
    </row>
    <row r="231" customHeight="1" spans="6:6">
      <c r="F231" s="1"/>
    </row>
    <row r="232" customHeight="1" spans="6:6">
      <c r="F232" s="1"/>
    </row>
    <row r="233" customHeight="1" spans="6:6">
      <c r="F233" s="1"/>
    </row>
    <row r="234" customHeight="1" spans="6:6">
      <c r="F234" s="1"/>
    </row>
    <row r="235" customHeight="1" spans="6:6">
      <c r="F235" s="1"/>
    </row>
    <row r="236" customHeight="1" spans="6:6">
      <c r="F236" s="1"/>
    </row>
    <row r="237" customHeight="1" spans="6:6">
      <c r="F237" s="1"/>
    </row>
    <row r="238" customHeight="1" spans="6:6">
      <c r="F238" s="1"/>
    </row>
    <row r="239" customHeight="1" spans="6:6">
      <c r="F239" s="1"/>
    </row>
    <row r="240" customHeight="1" spans="6:6">
      <c r="F240" s="1"/>
    </row>
    <row r="241" customHeight="1" spans="6:6">
      <c r="F241" s="1"/>
    </row>
    <row r="242" customHeight="1" spans="6:6">
      <c r="F242" s="1"/>
    </row>
    <row r="243" customHeight="1" spans="6:6">
      <c r="F243" s="1"/>
    </row>
    <row r="244" customHeight="1" spans="6:6">
      <c r="F244" s="1"/>
    </row>
    <row r="245" customHeight="1" spans="6:6">
      <c r="F245" s="1"/>
    </row>
    <row r="246" customHeight="1" spans="6:6">
      <c r="F246" s="1"/>
    </row>
    <row r="247" customHeight="1" spans="6:6">
      <c r="F247" s="1"/>
    </row>
    <row r="248" customHeight="1" spans="6:6">
      <c r="F248" s="1"/>
    </row>
    <row r="249" customHeight="1" spans="6:6">
      <c r="F249" s="1"/>
    </row>
    <row r="250" customHeight="1" spans="6:6">
      <c r="F250" s="1"/>
    </row>
    <row r="251" customHeight="1" spans="6:6">
      <c r="F251" s="1"/>
    </row>
    <row r="252" customHeight="1" spans="6:6">
      <c r="F252" s="1"/>
    </row>
    <row r="253" customHeight="1" spans="6:6">
      <c r="F253" s="1"/>
    </row>
    <row r="254" customHeight="1" spans="6:6">
      <c r="F254" s="1"/>
    </row>
    <row r="255" customHeight="1" spans="6:6">
      <c r="F255" s="1"/>
    </row>
    <row r="256" customHeight="1" spans="6:6">
      <c r="F256" s="1"/>
    </row>
    <row r="257" customHeight="1" spans="6:6">
      <c r="F257" s="1"/>
    </row>
    <row r="258" customHeight="1" spans="6:6">
      <c r="F258" s="1"/>
    </row>
    <row r="259" customHeight="1" spans="6:6">
      <c r="F259" s="1"/>
    </row>
    <row r="260" customHeight="1" spans="6:6">
      <c r="F260" s="1"/>
    </row>
    <row r="261" customHeight="1" spans="6:6">
      <c r="F261" s="1"/>
    </row>
    <row r="262" customHeight="1" spans="6:6">
      <c r="F262" s="1"/>
    </row>
    <row r="263" customHeight="1" spans="6:6">
      <c r="F263" s="1"/>
    </row>
    <row r="264" customHeight="1" spans="6:6">
      <c r="F264" s="1"/>
    </row>
    <row r="265" customHeight="1" spans="6:6">
      <c r="F265" s="1"/>
    </row>
    <row r="266" customHeight="1" spans="6:6">
      <c r="F266" s="1"/>
    </row>
    <row r="267" customHeight="1" spans="6:6">
      <c r="F267" s="1"/>
    </row>
    <row r="268" customHeight="1" spans="6:6">
      <c r="F268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6"/>
  <sheetViews>
    <sheetView view="pageBreakPreview" zoomScaleNormal="100" topLeftCell="A155" workbookViewId="0">
      <selection activeCell="L165" sqref="L165"/>
    </sheetView>
  </sheetViews>
  <sheetFormatPr defaultColWidth="8.72727272727273" defaultRowHeight="12.5"/>
  <cols>
    <col min="1" max="1" width="4.81818181818182" customWidth="1"/>
    <col min="2" max="2" width="31.3636363636364" customWidth="1"/>
    <col min="3" max="3" width="22.1818181818182" customWidth="1"/>
    <col min="5" max="5" width="10.8181818181818" customWidth="1"/>
    <col min="6" max="6" width="11" customWidth="1"/>
    <col min="7" max="7" width="12.0909090909091" customWidth="1"/>
    <col min="8" max="8" width="11.4545454545455" customWidth="1"/>
    <col min="9" max="9" width="10.7272727272727" customWidth="1"/>
    <col min="10" max="10" width="11.0909090909091" customWidth="1"/>
    <col min="11" max="11" width="12.2727272727273" customWidth="1"/>
  </cols>
  <sheetData>
    <row r="1" ht="15" spans="1:11">
      <c r="A1" s="856" t="s">
        <v>828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</row>
    <row r="2" ht="15" spans="1:11">
      <c r="A2" s="856" t="s">
        <v>829</v>
      </c>
      <c r="B2" s="856"/>
      <c r="C2" s="856"/>
      <c r="D2" s="856"/>
      <c r="E2" s="856"/>
      <c r="F2" s="856"/>
      <c r="G2" s="856"/>
      <c r="H2" s="856"/>
      <c r="I2" s="856"/>
      <c r="J2" s="856"/>
      <c r="K2" s="856"/>
    </row>
    <row r="3" ht="15" spans="1:11">
      <c r="A3" s="623" t="s">
        <v>830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</row>
    <row r="4" ht="15.5" spans="1:12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874"/>
    </row>
    <row r="5" ht="41" customHeight="1" spans="1:12">
      <c r="A5" s="857" t="s">
        <v>21</v>
      </c>
      <c r="B5" s="858" t="s">
        <v>2</v>
      </c>
      <c r="C5" s="858" t="s">
        <v>3</v>
      </c>
      <c r="D5" s="859" t="s">
        <v>4</v>
      </c>
      <c r="E5" s="860">
        <v>45293</v>
      </c>
      <c r="F5" s="860">
        <v>45324</v>
      </c>
      <c r="G5" s="860">
        <v>45354</v>
      </c>
      <c r="H5" s="860">
        <v>45386</v>
      </c>
      <c r="I5" s="860">
        <v>45417</v>
      </c>
      <c r="J5" s="860">
        <v>45449</v>
      </c>
      <c r="K5" s="875" t="s">
        <v>831</v>
      </c>
      <c r="L5" s="874"/>
    </row>
    <row r="6" ht="25" customHeight="1" spans="1:12">
      <c r="A6" s="861"/>
      <c r="B6" s="287"/>
      <c r="C6" s="287"/>
      <c r="D6" s="862"/>
      <c r="E6" s="862"/>
      <c r="F6" s="863" t="s">
        <v>20</v>
      </c>
      <c r="G6" s="863"/>
      <c r="H6" s="863"/>
      <c r="I6" s="863"/>
      <c r="J6" s="863"/>
      <c r="K6" s="863" t="s">
        <v>20</v>
      </c>
      <c r="L6" s="874"/>
    </row>
    <row r="7" ht="29" customHeight="1" spans="1:12">
      <c r="A7" s="95">
        <v>1</v>
      </c>
      <c r="B7" s="643" t="s">
        <v>23</v>
      </c>
      <c r="C7" s="83" t="s">
        <v>24</v>
      </c>
      <c r="D7" s="83" t="s">
        <v>25</v>
      </c>
      <c r="E7" s="641">
        <v>35000</v>
      </c>
      <c r="F7" s="641">
        <v>35000</v>
      </c>
      <c r="G7" s="641">
        <v>35000</v>
      </c>
      <c r="H7" s="641">
        <v>35000</v>
      </c>
      <c r="I7" s="641">
        <v>35000</v>
      </c>
      <c r="J7" s="641">
        <v>35000</v>
      </c>
      <c r="K7" s="642">
        <f>SUM(E7:J7)</f>
        <v>210000</v>
      </c>
      <c r="L7" s="874"/>
    </row>
    <row r="8" ht="25" customHeight="1" spans="1:12">
      <c r="A8" s="95">
        <v>2</v>
      </c>
      <c r="B8" s="643" t="s">
        <v>26</v>
      </c>
      <c r="C8" s="83" t="s">
        <v>27</v>
      </c>
      <c r="D8" s="95" t="s">
        <v>28</v>
      </c>
      <c r="E8" s="641">
        <v>35000</v>
      </c>
      <c r="F8" s="641">
        <v>35000</v>
      </c>
      <c r="G8" s="641">
        <v>35000</v>
      </c>
      <c r="H8" s="641">
        <v>35000</v>
      </c>
      <c r="I8" s="641">
        <v>35000</v>
      </c>
      <c r="J8" s="641">
        <v>35000</v>
      </c>
      <c r="K8" s="642">
        <f t="shared" ref="K8:K33" si="0">SUM(E8:J8)</f>
        <v>210000</v>
      </c>
      <c r="L8" s="874"/>
    </row>
    <row r="9" ht="25" customHeight="1" spans="1:12">
      <c r="A9" s="95">
        <v>3</v>
      </c>
      <c r="B9" s="639" t="s">
        <v>29</v>
      </c>
      <c r="C9" s="86" t="s">
        <v>30</v>
      </c>
      <c r="D9" s="95" t="s">
        <v>28</v>
      </c>
      <c r="E9" s="641">
        <v>35000</v>
      </c>
      <c r="F9" s="641">
        <v>35000</v>
      </c>
      <c r="G9" s="641">
        <v>35000</v>
      </c>
      <c r="H9" s="641">
        <v>35000</v>
      </c>
      <c r="I9" s="641">
        <v>35000</v>
      </c>
      <c r="J9" s="641">
        <v>35000</v>
      </c>
      <c r="K9" s="642">
        <f t="shared" si="0"/>
        <v>210000</v>
      </c>
      <c r="L9" s="874"/>
    </row>
    <row r="10" ht="25" customHeight="1" spans="1:12">
      <c r="A10" s="95">
        <v>4</v>
      </c>
      <c r="B10" s="643" t="s">
        <v>31</v>
      </c>
      <c r="C10" s="87" t="s">
        <v>32</v>
      </c>
      <c r="D10" s="95" t="s">
        <v>28</v>
      </c>
      <c r="E10" s="641">
        <v>35000</v>
      </c>
      <c r="F10" s="641">
        <v>35000</v>
      </c>
      <c r="G10" s="641">
        <v>35000</v>
      </c>
      <c r="H10" s="641">
        <v>35000</v>
      </c>
      <c r="I10" s="641">
        <v>35000</v>
      </c>
      <c r="J10" s="641">
        <v>35000</v>
      </c>
      <c r="K10" s="642">
        <f t="shared" si="0"/>
        <v>210000</v>
      </c>
      <c r="L10" s="874"/>
    </row>
    <row r="11" ht="25" customHeight="1" spans="1:12">
      <c r="A11" s="95">
        <v>5</v>
      </c>
      <c r="B11" s="639" t="s">
        <v>301</v>
      </c>
      <c r="C11" s="86" t="s">
        <v>832</v>
      </c>
      <c r="D11" s="95" t="s">
        <v>28</v>
      </c>
      <c r="E11" s="641">
        <v>35000</v>
      </c>
      <c r="F11" s="641">
        <v>35000</v>
      </c>
      <c r="G11" s="641">
        <v>35000</v>
      </c>
      <c r="H11" s="641">
        <v>35000</v>
      </c>
      <c r="I11" s="641">
        <v>35000</v>
      </c>
      <c r="J11" s="641">
        <v>35000</v>
      </c>
      <c r="K11" s="642">
        <f t="shared" si="0"/>
        <v>210000</v>
      </c>
      <c r="L11" s="874"/>
    </row>
    <row r="12" ht="25" customHeight="1" spans="1:12">
      <c r="A12" s="95">
        <v>6</v>
      </c>
      <c r="B12" s="351" t="s">
        <v>833</v>
      </c>
      <c r="C12" s="87" t="s">
        <v>834</v>
      </c>
      <c r="D12" s="95" t="s">
        <v>28</v>
      </c>
      <c r="E12" s="641">
        <v>35000</v>
      </c>
      <c r="F12" s="641">
        <v>35000</v>
      </c>
      <c r="G12" s="641">
        <v>35000</v>
      </c>
      <c r="H12" s="641">
        <v>35000</v>
      </c>
      <c r="I12" s="641">
        <v>35000</v>
      </c>
      <c r="J12" s="641">
        <v>35000</v>
      </c>
      <c r="K12" s="642">
        <f t="shared" si="0"/>
        <v>210000</v>
      </c>
      <c r="L12" s="874"/>
    </row>
    <row r="13" ht="25" customHeight="1" spans="1:12">
      <c r="A13" s="95">
        <v>7</v>
      </c>
      <c r="B13" s="643" t="s">
        <v>33</v>
      </c>
      <c r="C13" s="83" t="s">
        <v>835</v>
      </c>
      <c r="D13" s="640" t="s">
        <v>38</v>
      </c>
      <c r="E13" s="641">
        <v>35000</v>
      </c>
      <c r="F13" s="641">
        <v>35000</v>
      </c>
      <c r="G13" s="641">
        <v>35000</v>
      </c>
      <c r="H13" s="641">
        <v>35000</v>
      </c>
      <c r="I13" s="641">
        <v>35000</v>
      </c>
      <c r="J13" s="641">
        <v>35000</v>
      </c>
      <c r="K13" s="642">
        <f t="shared" si="0"/>
        <v>210000</v>
      </c>
      <c r="L13" s="874"/>
    </row>
    <row r="14" ht="25" customHeight="1" spans="1:12">
      <c r="A14" s="95">
        <v>8</v>
      </c>
      <c r="B14" s="643" t="s">
        <v>36</v>
      </c>
      <c r="C14" s="86" t="s">
        <v>37</v>
      </c>
      <c r="D14" s="95" t="s">
        <v>41</v>
      </c>
      <c r="E14" s="641">
        <v>35000</v>
      </c>
      <c r="F14" s="641">
        <v>35000</v>
      </c>
      <c r="G14" s="641">
        <v>35000</v>
      </c>
      <c r="H14" s="641">
        <v>35000</v>
      </c>
      <c r="I14" s="641">
        <v>35000</v>
      </c>
      <c r="J14" s="641">
        <v>35000</v>
      </c>
      <c r="K14" s="642">
        <f t="shared" si="0"/>
        <v>210000</v>
      </c>
      <c r="L14" s="874"/>
    </row>
    <row r="15" ht="25" customHeight="1" spans="1:12">
      <c r="A15" s="95">
        <v>9</v>
      </c>
      <c r="B15" s="643" t="s">
        <v>39</v>
      </c>
      <c r="C15" s="86" t="s">
        <v>547</v>
      </c>
      <c r="D15" s="640" t="s">
        <v>189</v>
      </c>
      <c r="E15" s="641">
        <v>35000</v>
      </c>
      <c r="F15" s="641">
        <v>35000</v>
      </c>
      <c r="G15" s="641">
        <v>35000</v>
      </c>
      <c r="H15" s="641">
        <v>35000</v>
      </c>
      <c r="I15" s="641">
        <v>35000</v>
      </c>
      <c r="J15" s="641">
        <v>35000</v>
      </c>
      <c r="K15" s="642">
        <f t="shared" si="0"/>
        <v>210000</v>
      </c>
      <c r="L15" s="874"/>
    </row>
    <row r="16" ht="25" customHeight="1" spans="1:12">
      <c r="A16" s="95">
        <v>10</v>
      </c>
      <c r="B16" s="639" t="s">
        <v>42</v>
      </c>
      <c r="C16" s="87" t="s">
        <v>51</v>
      </c>
      <c r="D16" s="640" t="s">
        <v>46</v>
      </c>
      <c r="E16" s="641">
        <v>35000</v>
      </c>
      <c r="F16" s="641">
        <v>35000</v>
      </c>
      <c r="G16" s="641">
        <v>35000</v>
      </c>
      <c r="H16" s="641">
        <v>35000</v>
      </c>
      <c r="I16" s="641">
        <v>35000</v>
      </c>
      <c r="J16" s="641">
        <v>35000</v>
      </c>
      <c r="K16" s="642">
        <f t="shared" si="0"/>
        <v>210000</v>
      </c>
      <c r="L16" s="874"/>
    </row>
    <row r="17" ht="25" customHeight="1" spans="1:12">
      <c r="A17" s="95">
        <v>11</v>
      </c>
      <c r="B17" s="643" t="s">
        <v>44</v>
      </c>
      <c r="C17" s="86" t="s">
        <v>45</v>
      </c>
      <c r="D17" s="95" t="s">
        <v>52</v>
      </c>
      <c r="E17" s="641">
        <v>35000</v>
      </c>
      <c r="F17" s="641">
        <v>35000</v>
      </c>
      <c r="G17" s="641">
        <v>35000</v>
      </c>
      <c r="H17" s="641">
        <v>35000</v>
      </c>
      <c r="I17" s="641">
        <v>35000</v>
      </c>
      <c r="J17" s="641">
        <v>35000</v>
      </c>
      <c r="K17" s="642">
        <f t="shared" si="0"/>
        <v>210000</v>
      </c>
      <c r="L17" s="874"/>
    </row>
    <row r="18" ht="25" customHeight="1" spans="1:12">
      <c r="A18" s="95">
        <v>12</v>
      </c>
      <c r="B18" s="643" t="s">
        <v>47</v>
      </c>
      <c r="C18" s="86" t="s">
        <v>836</v>
      </c>
      <c r="D18" s="95" t="s">
        <v>55</v>
      </c>
      <c r="E18" s="641">
        <v>35000</v>
      </c>
      <c r="F18" s="641">
        <v>35000</v>
      </c>
      <c r="G18" s="641">
        <v>35000</v>
      </c>
      <c r="H18" s="641">
        <v>35000</v>
      </c>
      <c r="I18" s="641">
        <v>35000</v>
      </c>
      <c r="J18" s="641">
        <v>35000</v>
      </c>
      <c r="K18" s="642">
        <f t="shared" si="0"/>
        <v>210000</v>
      </c>
      <c r="L18" s="874"/>
    </row>
    <row r="19" ht="25" customHeight="1" spans="1:12">
      <c r="A19" s="95">
        <v>13</v>
      </c>
      <c r="B19" s="643" t="s">
        <v>50</v>
      </c>
      <c r="C19" s="83" t="s">
        <v>60</v>
      </c>
      <c r="D19" s="640" t="s">
        <v>502</v>
      </c>
      <c r="E19" s="641">
        <v>35000</v>
      </c>
      <c r="F19" s="641">
        <v>35000</v>
      </c>
      <c r="G19" s="641">
        <v>35000</v>
      </c>
      <c r="H19" s="641">
        <v>35000</v>
      </c>
      <c r="I19" s="641">
        <v>35000</v>
      </c>
      <c r="J19" s="641">
        <v>35000</v>
      </c>
      <c r="K19" s="642">
        <f t="shared" si="0"/>
        <v>210000</v>
      </c>
      <c r="L19" s="874"/>
    </row>
    <row r="20" ht="25" customHeight="1" spans="1:12">
      <c r="A20" s="95">
        <v>14</v>
      </c>
      <c r="B20" s="351" t="s">
        <v>53</v>
      </c>
      <c r="C20" s="86" t="s">
        <v>54</v>
      </c>
      <c r="D20" s="640" t="s">
        <v>58</v>
      </c>
      <c r="E20" s="641">
        <v>35000</v>
      </c>
      <c r="F20" s="641">
        <v>35000</v>
      </c>
      <c r="G20" s="641">
        <v>35000</v>
      </c>
      <c r="H20" s="641">
        <v>35000</v>
      </c>
      <c r="I20" s="641">
        <v>35000</v>
      </c>
      <c r="J20" s="641">
        <v>35000</v>
      </c>
      <c r="K20" s="642">
        <f t="shared" si="0"/>
        <v>210000</v>
      </c>
      <c r="L20" s="874"/>
    </row>
    <row r="21" ht="25" customHeight="1" spans="1:12">
      <c r="A21" s="95">
        <v>15</v>
      </c>
      <c r="B21" s="643" t="s">
        <v>64</v>
      </c>
      <c r="C21" s="83" t="s">
        <v>176</v>
      </c>
      <c r="D21" s="640" t="s">
        <v>69</v>
      </c>
      <c r="E21" s="641">
        <v>35000</v>
      </c>
      <c r="F21" s="641">
        <v>35000</v>
      </c>
      <c r="G21" s="641">
        <v>35000</v>
      </c>
      <c r="H21" s="641">
        <v>35000</v>
      </c>
      <c r="I21" s="641">
        <v>35000</v>
      </c>
      <c r="J21" s="641">
        <v>35000</v>
      </c>
      <c r="K21" s="642">
        <f t="shared" si="0"/>
        <v>210000</v>
      </c>
      <c r="L21" s="874"/>
    </row>
    <row r="22" ht="25" customHeight="1" spans="1:12">
      <c r="A22" s="95">
        <v>16</v>
      </c>
      <c r="B22" s="639" t="s">
        <v>67</v>
      </c>
      <c r="C22" s="87" t="s">
        <v>68</v>
      </c>
      <c r="D22" s="95" t="s">
        <v>504</v>
      </c>
      <c r="E22" s="641">
        <v>35000</v>
      </c>
      <c r="F22" s="641">
        <v>35000</v>
      </c>
      <c r="G22" s="641">
        <v>35000</v>
      </c>
      <c r="H22" s="641">
        <v>35000</v>
      </c>
      <c r="I22" s="641">
        <v>35000</v>
      </c>
      <c r="J22" s="641">
        <v>35000</v>
      </c>
      <c r="K22" s="642">
        <f t="shared" si="0"/>
        <v>210000</v>
      </c>
      <c r="L22" s="874"/>
    </row>
    <row r="23" ht="25" customHeight="1" spans="1:12">
      <c r="A23" s="95">
        <v>17</v>
      </c>
      <c r="B23" s="643" t="s">
        <v>70</v>
      </c>
      <c r="C23" s="87" t="s">
        <v>71</v>
      </c>
      <c r="D23" s="640" t="s">
        <v>504</v>
      </c>
      <c r="E23" s="641">
        <v>35000</v>
      </c>
      <c r="F23" s="641">
        <v>35000</v>
      </c>
      <c r="G23" s="641">
        <v>35000</v>
      </c>
      <c r="H23" s="641">
        <v>35000</v>
      </c>
      <c r="I23" s="641">
        <v>35000</v>
      </c>
      <c r="J23" s="641">
        <v>35000</v>
      </c>
      <c r="K23" s="642">
        <f t="shared" si="0"/>
        <v>210000</v>
      </c>
      <c r="L23" s="874"/>
    </row>
    <row r="24" ht="25" customHeight="1" spans="1:12">
      <c r="A24" s="95">
        <v>18</v>
      </c>
      <c r="B24" s="639" t="s">
        <v>72</v>
      </c>
      <c r="C24" s="87" t="s">
        <v>73</v>
      </c>
      <c r="D24" s="95" t="s">
        <v>80</v>
      </c>
      <c r="E24" s="641">
        <v>35000</v>
      </c>
      <c r="F24" s="641">
        <v>35000</v>
      </c>
      <c r="G24" s="641">
        <v>35000</v>
      </c>
      <c r="H24" s="641">
        <v>35000</v>
      </c>
      <c r="I24" s="641">
        <v>35000</v>
      </c>
      <c r="J24" s="641">
        <v>35000</v>
      </c>
      <c r="K24" s="642">
        <f t="shared" si="0"/>
        <v>210000</v>
      </c>
      <c r="L24" s="874"/>
    </row>
    <row r="25" ht="25" customHeight="1" spans="1:12">
      <c r="A25" s="95">
        <v>19</v>
      </c>
      <c r="B25" s="86" t="s">
        <v>485</v>
      </c>
      <c r="C25" s="86" t="s">
        <v>94</v>
      </c>
      <c r="D25" s="95" t="s">
        <v>88</v>
      </c>
      <c r="E25" s="641">
        <v>35000</v>
      </c>
      <c r="F25" s="641">
        <v>35000</v>
      </c>
      <c r="G25" s="641">
        <v>35000</v>
      </c>
      <c r="H25" s="641">
        <v>35000</v>
      </c>
      <c r="I25" s="641">
        <v>35000</v>
      </c>
      <c r="J25" s="641">
        <v>35000</v>
      </c>
      <c r="K25" s="642">
        <f t="shared" si="0"/>
        <v>210000</v>
      </c>
      <c r="L25" s="874"/>
    </row>
    <row r="26" ht="25" customHeight="1" spans="1:12">
      <c r="A26" s="95">
        <v>20</v>
      </c>
      <c r="B26" s="351" t="s">
        <v>78</v>
      </c>
      <c r="C26" s="83" t="s">
        <v>94</v>
      </c>
      <c r="D26" s="640" t="s">
        <v>88</v>
      </c>
      <c r="E26" s="641">
        <v>35000</v>
      </c>
      <c r="F26" s="641">
        <v>35000</v>
      </c>
      <c r="G26" s="641">
        <v>35000</v>
      </c>
      <c r="H26" s="641">
        <v>35000</v>
      </c>
      <c r="I26" s="641">
        <v>35000</v>
      </c>
      <c r="J26" s="641">
        <v>35000</v>
      </c>
      <c r="K26" s="642">
        <f t="shared" si="0"/>
        <v>210000</v>
      </c>
      <c r="L26" s="874"/>
    </row>
    <row r="27" ht="25" customHeight="1" spans="1:12">
      <c r="A27" s="95">
        <v>21</v>
      </c>
      <c r="B27" s="643" t="s">
        <v>81</v>
      </c>
      <c r="C27" s="87" t="s">
        <v>68</v>
      </c>
      <c r="D27" s="95" t="s">
        <v>88</v>
      </c>
      <c r="E27" s="641">
        <v>35000</v>
      </c>
      <c r="F27" s="641">
        <v>35000</v>
      </c>
      <c r="G27" s="641">
        <v>35000</v>
      </c>
      <c r="H27" s="641">
        <v>35000</v>
      </c>
      <c r="I27" s="641">
        <v>35000</v>
      </c>
      <c r="J27" s="641">
        <v>35000</v>
      </c>
      <c r="K27" s="642">
        <f t="shared" si="0"/>
        <v>210000</v>
      </c>
      <c r="L27" s="874"/>
    </row>
    <row r="28" ht="25" customHeight="1" spans="1:12">
      <c r="A28" s="95">
        <v>22</v>
      </c>
      <c r="B28" s="351" t="s">
        <v>83</v>
      </c>
      <c r="C28" s="83" t="s">
        <v>84</v>
      </c>
      <c r="D28" s="640" t="s">
        <v>99</v>
      </c>
      <c r="E28" s="641">
        <v>35000</v>
      </c>
      <c r="F28" s="641">
        <v>35000</v>
      </c>
      <c r="G28" s="641">
        <v>35000</v>
      </c>
      <c r="H28" s="641">
        <v>35000</v>
      </c>
      <c r="I28" s="641">
        <v>35000</v>
      </c>
      <c r="J28" s="641">
        <v>35000</v>
      </c>
      <c r="K28" s="642">
        <f t="shared" si="0"/>
        <v>210000</v>
      </c>
      <c r="L28" s="874"/>
    </row>
    <row r="29" ht="25" customHeight="1" spans="1:12">
      <c r="A29" s="95">
        <v>23</v>
      </c>
      <c r="B29" s="351" t="s">
        <v>86</v>
      </c>
      <c r="C29" s="86" t="s">
        <v>87</v>
      </c>
      <c r="D29" s="95" t="s">
        <v>344</v>
      </c>
      <c r="E29" s="641">
        <v>35000</v>
      </c>
      <c r="F29" s="641">
        <v>35000</v>
      </c>
      <c r="G29" s="641">
        <v>35000</v>
      </c>
      <c r="H29" s="641">
        <v>35000</v>
      </c>
      <c r="I29" s="641">
        <v>35000</v>
      </c>
      <c r="J29" s="641">
        <v>35000</v>
      </c>
      <c r="K29" s="642">
        <f t="shared" si="0"/>
        <v>210000</v>
      </c>
      <c r="L29" s="874"/>
    </row>
    <row r="30" ht="25" customHeight="1" spans="1:12">
      <c r="A30" s="95">
        <v>24</v>
      </c>
      <c r="B30" s="351" t="s">
        <v>89</v>
      </c>
      <c r="C30" s="86" t="s">
        <v>87</v>
      </c>
      <c r="D30" s="95" t="s">
        <v>344</v>
      </c>
      <c r="E30" s="641">
        <v>35000</v>
      </c>
      <c r="F30" s="641">
        <v>35000</v>
      </c>
      <c r="G30" s="641">
        <v>35000</v>
      </c>
      <c r="H30" s="641">
        <v>35000</v>
      </c>
      <c r="I30" s="641">
        <v>35000</v>
      </c>
      <c r="J30" s="641">
        <v>35000</v>
      </c>
      <c r="K30" s="642">
        <f t="shared" si="0"/>
        <v>210000</v>
      </c>
      <c r="L30" s="874"/>
    </row>
    <row r="31" ht="25" customHeight="1" spans="1:12">
      <c r="A31" s="95">
        <v>25</v>
      </c>
      <c r="B31" s="351" t="s">
        <v>91</v>
      </c>
      <c r="C31" s="87" t="s">
        <v>550</v>
      </c>
      <c r="D31" s="640" t="s">
        <v>88</v>
      </c>
      <c r="E31" s="641">
        <v>35000</v>
      </c>
      <c r="F31" s="641">
        <v>35000</v>
      </c>
      <c r="G31" s="641">
        <v>35000</v>
      </c>
      <c r="H31" s="641">
        <v>35000</v>
      </c>
      <c r="I31" s="641">
        <v>35000</v>
      </c>
      <c r="J31" s="641">
        <v>35000</v>
      </c>
      <c r="K31" s="642">
        <f t="shared" si="0"/>
        <v>210000</v>
      </c>
      <c r="L31" s="874"/>
    </row>
    <row r="32" ht="25" customHeight="1" spans="1:12">
      <c r="A32" s="95">
        <v>26</v>
      </c>
      <c r="B32" s="351" t="s">
        <v>95</v>
      </c>
      <c r="C32" s="86" t="s">
        <v>551</v>
      </c>
      <c r="D32" s="95" t="s">
        <v>108</v>
      </c>
      <c r="E32" s="641">
        <v>35000</v>
      </c>
      <c r="F32" s="641">
        <v>35000</v>
      </c>
      <c r="G32" s="641">
        <v>35000</v>
      </c>
      <c r="H32" s="641">
        <v>35000</v>
      </c>
      <c r="I32" s="641">
        <v>35000</v>
      </c>
      <c r="J32" s="641">
        <v>35000</v>
      </c>
      <c r="K32" s="642">
        <f t="shared" si="0"/>
        <v>210000</v>
      </c>
      <c r="L32" s="874"/>
    </row>
    <row r="33" ht="25" customHeight="1" spans="1:12">
      <c r="A33" s="95">
        <v>27</v>
      </c>
      <c r="B33" s="351" t="s">
        <v>103</v>
      </c>
      <c r="C33" s="83" t="s">
        <v>104</v>
      </c>
      <c r="D33" s="640" t="s">
        <v>111</v>
      </c>
      <c r="E33" s="641">
        <v>35000</v>
      </c>
      <c r="F33" s="641">
        <v>35000</v>
      </c>
      <c r="G33" s="641">
        <v>35000</v>
      </c>
      <c r="H33" s="641">
        <v>35000</v>
      </c>
      <c r="I33" s="641">
        <v>35000</v>
      </c>
      <c r="J33" s="641">
        <v>35000</v>
      </c>
      <c r="K33" s="642">
        <f t="shared" si="0"/>
        <v>210000</v>
      </c>
      <c r="L33" s="874"/>
    </row>
    <row r="34" ht="25" customHeight="1" spans="1:12">
      <c r="A34" s="95"/>
      <c r="B34" s="864" t="s">
        <v>120</v>
      </c>
      <c r="C34" s="88">
        <v>27</v>
      </c>
      <c r="D34" s="640"/>
      <c r="E34" s="865">
        <f t="shared" ref="E34:K34" si="1">SUM(E7:E33)</f>
        <v>945000</v>
      </c>
      <c r="F34" s="866">
        <f t="shared" si="1"/>
        <v>945000</v>
      </c>
      <c r="G34" s="866">
        <f t="shared" si="1"/>
        <v>945000</v>
      </c>
      <c r="H34" s="866">
        <f t="shared" si="1"/>
        <v>945000</v>
      </c>
      <c r="I34" s="866">
        <f t="shared" si="1"/>
        <v>945000</v>
      </c>
      <c r="J34" s="866">
        <f t="shared" si="1"/>
        <v>945000</v>
      </c>
      <c r="K34" s="866">
        <f t="shared" si="1"/>
        <v>5670000</v>
      </c>
      <c r="L34" s="874"/>
    </row>
    <row r="35" ht="25" customHeight="1" spans="1:12">
      <c r="A35" s="95"/>
      <c r="B35" s="867"/>
      <c r="C35" s="86"/>
      <c r="D35" s="640"/>
      <c r="E35" s="640"/>
      <c r="F35" s="868"/>
      <c r="G35" s="868"/>
      <c r="H35" s="868"/>
      <c r="I35" s="868"/>
      <c r="J35" s="868"/>
      <c r="K35" s="642"/>
      <c r="L35" s="874"/>
    </row>
    <row r="36" ht="25" customHeight="1" spans="1:12">
      <c r="A36" s="95"/>
      <c r="B36" s="864" t="s">
        <v>121</v>
      </c>
      <c r="C36" s="86"/>
      <c r="D36" s="640"/>
      <c r="E36" s="640"/>
      <c r="F36" s="641"/>
      <c r="G36" s="641"/>
      <c r="H36" s="641"/>
      <c r="I36" s="641"/>
      <c r="J36" s="641"/>
      <c r="K36" s="642"/>
      <c r="L36" s="874"/>
    </row>
    <row r="37" ht="25" customHeight="1" spans="1:12">
      <c r="A37" s="95">
        <v>1</v>
      </c>
      <c r="B37" s="351" t="s">
        <v>122</v>
      </c>
      <c r="C37" s="86" t="s">
        <v>123</v>
      </c>
      <c r="D37" s="95" t="s">
        <v>124</v>
      </c>
      <c r="E37" s="641">
        <v>35000</v>
      </c>
      <c r="F37" s="641">
        <v>35000</v>
      </c>
      <c r="G37" s="641">
        <v>35000</v>
      </c>
      <c r="H37" s="641">
        <v>35000</v>
      </c>
      <c r="I37" s="641">
        <v>35000</v>
      </c>
      <c r="J37" s="641">
        <v>35000</v>
      </c>
      <c r="K37" s="642">
        <f t="shared" ref="K37:K39" si="2">SUM(E37:J37)</f>
        <v>210000</v>
      </c>
      <c r="L37" s="874"/>
    </row>
    <row r="38" ht="25" customHeight="1" spans="1:12">
      <c r="A38" s="95">
        <v>2</v>
      </c>
      <c r="B38" s="351" t="s">
        <v>127</v>
      </c>
      <c r="C38" s="86" t="s">
        <v>128</v>
      </c>
      <c r="D38" s="95" t="s">
        <v>80</v>
      </c>
      <c r="E38" s="641">
        <v>35000</v>
      </c>
      <c r="F38" s="641">
        <v>35000</v>
      </c>
      <c r="G38" s="641">
        <v>35000</v>
      </c>
      <c r="H38" s="641">
        <v>35000</v>
      </c>
      <c r="I38" s="641">
        <v>35000</v>
      </c>
      <c r="J38" s="641">
        <v>35000</v>
      </c>
      <c r="K38" s="642">
        <f t="shared" si="2"/>
        <v>210000</v>
      </c>
      <c r="L38" s="874"/>
    </row>
    <row r="39" ht="25" customHeight="1" spans="1:12">
      <c r="A39" s="95">
        <v>3</v>
      </c>
      <c r="B39" s="643" t="s">
        <v>129</v>
      </c>
      <c r="C39" s="86" t="s">
        <v>128</v>
      </c>
      <c r="D39" s="640" t="s">
        <v>74</v>
      </c>
      <c r="E39" s="641">
        <v>35000</v>
      </c>
      <c r="F39" s="641">
        <v>35000</v>
      </c>
      <c r="G39" s="641">
        <v>35000</v>
      </c>
      <c r="H39" s="641">
        <v>35000</v>
      </c>
      <c r="I39" s="641">
        <v>35000</v>
      </c>
      <c r="J39" s="641">
        <v>35000</v>
      </c>
      <c r="K39" s="642">
        <f t="shared" si="2"/>
        <v>210000</v>
      </c>
      <c r="L39" s="874"/>
    </row>
    <row r="40" ht="25" customHeight="1" spans="1:12">
      <c r="A40" s="95"/>
      <c r="B40" s="639"/>
      <c r="C40" s="88">
        <v>3</v>
      </c>
      <c r="D40" s="95"/>
      <c r="E40" s="866">
        <f t="shared" ref="E40:K40" si="3">SUM(E37:E39)</f>
        <v>105000</v>
      </c>
      <c r="F40" s="866">
        <f t="shared" si="3"/>
        <v>105000</v>
      </c>
      <c r="G40" s="866">
        <f t="shared" si="3"/>
        <v>105000</v>
      </c>
      <c r="H40" s="866">
        <f t="shared" si="3"/>
        <v>105000</v>
      </c>
      <c r="I40" s="866">
        <f t="shared" si="3"/>
        <v>105000</v>
      </c>
      <c r="J40" s="866">
        <f t="shared" si="3"/>
        <v>105000</v>
      </c>
      <c r="K40" s="866">
        <f t="shared" si="3"/>
        <v>630000</v>
      </c>
      <c r="L40" s="874"/>
    </row>
    <row r="41" ht="25" customHeight="1" spans="1:12">
      <c r="A41" s="95"/>
      <c r="B41" s="639"/>
      <c r="C41" s="86"/>
      <c r="D41" s="95"/>
      <c r="E41" s="95"/>
      <c r="F41" s="868"/>
      <c r="G41" s="868"/>
      <c r="H41" s="868"/>
      <c r="I41" s="868"/>
      <c r="J41" s="868"/>
      <c r="K41" s="642"/>
      <c r="L41" s="874"/>
    </row>
    <row r="42" ht="25" customHeight="1" spans="1:12">
      <c r="A42" s="95"/>
      <c r="B42" s="869" t="s">
        <v>137</v>
      </c>
      <c r="C42" s="90"/>
      <c r="D42" s="646"/>
      <c r="E42" s="646"/>
      <c r="F42" s="868"/>
      <c r="G42" s="868"/>
      <c r="H42" s="868"/>
      <c r="I42" s="868"/>
      <c r="J42" s="868"/>
      <c r="K42" s="642"/>
      <c r="L42" s="874"/>
    </row>
    <row r="43" ht="25" customHeight="1" spans="1:12">
      <c r="A43" s="95">
        <v>1</v>
      </c>
      <c r="B43" s="870" t="s">
        <v>837</v>
      </c>
      <c r="C43" s="86" t="s">
        <v>838</v>
      </c>
      <c r="D43" s="95" t="s">
        <v>124</v>
      </c>
      <c r="E43" s="641">
        <v>35000</v>
      </c>
      <c r="F43" s="641">
        <v>35000</v>
      </c>
      <c r="G43" s="641">
        <v>35000</v>
      </c>
      <c r="H43" s="641">
        <v>35000</v>
      </c>
      <c r="I43" s="641">
        <v>35000</v>
      </c>
      <c r="J43" s="641">
        <v>35000</v>
      </c>
      <c r="K43" s="642">
        <f t="shared" ref="K43:K45" si="4">SUM(E43:J43)</f>
        <v>210000</v>
      </c>
      <c r="L43" s="874"/>
    </row>
    <row r="44" ht="25" customHeight="1" spans="1:12">
      <c r="A44" s="95">
        <v>2</v>
      </c>
      <c r="B44" s="870" t="s">
        <v>839</v>
      </c>
      <c r="C44" s="86" t="s">
        <v>43</v>
      </c>
      <c r="D44" s="95" t="s">
        <v>38</v>
      </c>
      <c r="E44" s="641">
        <v>35000</v>
      </c>
      <c r="F44" s="641">
        <v>35000</v>
      </c>
      <c r="G44" s="641">
        <v>35000</v>
      </c>
      <c r="H44" s="641">
        <v>35000</v>
      </c>
      <c r="I44" s="641">
        <v>35000</v>
      </c>
      <c r="J44" s="641">
        <v>35000</v>
      </c>
      <c r="K44" s="642">
        <f t="shared" si="4"/>
        <v>210000</v>
      </c>
      <c r="L44" s="874"/>
    </row>
    <row r="45" ht="25" customHeight="1" spans="1:12">
      <c r="A45" s="95">
        <v>3</v>
      </c>
      <c r="B45" s="643" t="s">
        <v>138</v>
      </c>
      <c r="C45" s="86" t="s">
        <v>552</v>
      </c>
      <c r="D45" s="95" t="s">
        <v>207</v>
      </c>
      <c r="E45" s="641">
        <v>35000</v>
      </c>
      <c r="F45" s="641">
        <v>35000</v>
      </c>
      <c r="G45" s="641">
        <v>35000</v>
      </c>
      <c r="H45" s="641">
        <v>35000</v>
      </c>
      <c r="I45" s="641">
        <v>35000</v>
      </c>
      <c r="J45" s="641">
        <v>35000</v>
      </c>
      <c r="K45" s="642">
        <f t="shared" si="4"/>
        <v>210000</v>
      </c>
      <c r="L45" s="874"/>
    </row>
    <row r="46" ht="25" customHeight="1" spans="1:12">
      <c r="A46" s="95">
        <v>4</v>
      </c>
      <c r="B46" s="643" t="s">
        <v>141</v>
      </c>
      <c r="C46" s="86" t="s">
        <v>142</v>
      </c>
      <c r="D46" s="95" t="s">
        <v>38</v>
      </c>
      <c r="E46" s="641">
        <v>35000</v>
      </c>
      <c r="F46" s="641">
        <v>35000</v>
      </c>
      <c r="G46" s="641">
        <v>35000</v>
      </c>
      <c r="H46" s="641">
        <v>35000</v>
      </c>
      <c r="I46" s="641">
        <v>35000</v>
      </c>
      <c r="J46" s="641">
        <v>35000</v>
      </c>
      <c r="K46" s="642">
        <f t="shared" ref="K46:K53" si="5">SUM(E46:J46)</f>
        <v>210000</v>
      </c>
      <c r="L46" s="874"/>
    </row>
    <row r="47" ht="25" customHeight="1" spans="1:12">
      <c r="A47" s="95">
        <v>5</v>
      </c>
      <c r="B47" s="643" t="s">
        <v>143</v>
      </c>
      <c r="C47" s="86" t="s">
        <v>142</v>
      </c>
      <c r="D47" s="95" t="s">
        <v>38</v>
      </c>
      <c r="E47" s="641">
        <v>35000</v>
      </c>
      <c r="F47" s="641">
        <v>35000</v>
      </c>
      <c r="G47" s="641">
        <v>35000</v>
      </c>
      <c r="H47" s="641">
        <v>35000</v>
      </c>
      <c r="I47" s="641">
        <v>35000</v>
      </c>
      <c r="J47" s="641">
        <v>35000</v>
      </c>
      <c r="K47" s="642">
        <f t="shared" si="5"/>
        <v>210000</v>
      </c>
      <c r="L47" s="874"/>
    </row>
    <row r="48" ht="25" customHeight="1" spans="1:12">
      <c r="A48" s="95">
        <v>6</v>
      </c>
      <c r="B48" s="643" t="s">
        <v>144</v>
      </c>
      <c r="C48" s="86" t="s">
        <v>142</v>
      </c>
      <c r="D48" s="95" t="s">
        <v>41</v>
      </c>
      <c r="E48" s="641">
        <v>35000</v>
      </c>
      <c r="F48" s="641">
        <v>35000</v>
      </c>
      <c r="G48" s="641">
        <v>35000</v>
      </c>
      <c r="H48" s="641">
        <v>35000</v>
      </c>
      <c r="I48" s="641">
        <v>35000</v>
      </c>
      <c r="J48" s="641">
        <v>35000</v>
      </c>
      <c r="K48" s="642">
        <f t="shared" si="5"/>
        <v>210000</v>
      </c>
      <c r="L48" s="874"/>
    </row>
    <row r="49" ht="25" customHeight="1" spans="1:12">
      <c r="A49" s="95">
        <v>7</v>
      </c>
      <c r="B49" s="639" t="s">
        <v>145</v>
      </c>
      <c r="C49" s="86" t="s">
        <v>51</v>
      </c>
      <c r="D49" s="871" t="s">
        <v>46</v>
      </c>
      <c r="E49" s="641">
        <v>35000</v>
      </c>
      <c r="F49" s="641">
        <v>35000</v>
      </c>
      <c r="G49" s="641">
        <v>35000</v>
      </c>
      <c r="H49" s="641">
        <v>35000</v>
      </c>
      <c r="I49" s="641">
        <v>35000</v>
      </c>
      <c r="J49" s="641">
        <v>35000</v>
      </c>
      <c r="K49" s="642">
        <f t="shared" si="5"/>
        <v>210000</v>
      </c>
      <c r="L49" s="874"/>
    </row>
    <row r="50" ht="25" customHeight="1" spans="1:12">
      <c r="A50" s="95">
        <v>8</v>
      </c>
      <c r="B50" s="643" t="s">
        <v>149</v>
      </c>
      <c r="C50" s="86" t="s">
        <v>150</v>
      </c>
      <c r="D50" s="95" t="s">
        <v>74</v>
      </c>
      <c r="E50" s="641">
        <v>35000</v>
      </c>
      <c r="F50" s="641">
        <v>35000</v>
      </c>
      <c r="G50" s="641">
        <v>35000</v>
      </c>
      <c r="H50" s="641">
        <v>35000</v>
      </c>
      <c r="I50" s="641">
        <v>35000</v>
      </c>
      <c r="J50" s="641">
        <v>35000</v>
      </c>
      <c r="K50" s="642">
        <f t="shared" si="5"/>
        <v>210000</v>
      </c>
      <c r="L50" s="874"/>
    </row>
    <row r="51" ht="25" customHeight="1" spans="1:12">
      <c r="A51" s="95">
        <v>9</v>
      </c>
      <c r="B51" s="643" t="s">
        <v>153</v>
      </c>
      <c r="C51" s="86" t="s">
        <v>150</v>
      </c>
      <c r="D51" s="95" t="s">
        <v>99</v>
      </c>
      <c r="E51" s="641">
        <v>35000</v>
      </c>
      <c r="F51" s="641">
        <v>35000</v>
      </c>
      <c r="G51" s="641">
        <v>35000</v>
      </c>
      <c r="H51" s="641">
        <v>35000</v>
      </c>
      <c r="I51" s="641">
        <v>35000</v>
      </c>
      <c r="J51" s="641">
        <v>35000</v>
      </c>
      <c r="K51" s="642">
        <f t="shared" si="5"/>
        <v>210000</v>
      </c>
      <c r="L51" s="874"/>
    </row>
    <row r="52" ht="25" customHeight="1" spans="1:12">
      <c r="A52" s="95">
        <v>10</v>
      </c>
      <c r="B52" s="643" t="s">
        <v>840</v>
      </c>
      <c r="C52" s="86" t="s">
        <v>150</v>
      </c>
      <c r="D52" s="95" t="s">
        <v>99</v>
      </c>
      <c r="E52" s="641">
        <v>35000</v>
      </c>
      <c r="F52" s="641">
        <v>35000</v>
      </c>
      <c r="G52" s="641">
        <v>35000</v>
      </c>
      <c r="H52" s="641">
        <v>35000</v>
      </c>
      <c r="I52" s="641">
        <v>35000</v>
      </c>
      <c r="J52" s="641">
        <v>35000</v>
      </c>
      <c r="K52" s="642">
        <f t="shared" si="5"/>
        <v>210000</v>
      </c>
      <c r="L52" s="874"/>
    </row>
    <row r="53" ht="25" customHeight="1" spans="1:12">
      <c r="A53" s="95">
        <v>11</v>
      </c>
      <c r="B53" s="643" t="s">
        <v>154</v>
      </c>
      <c r="C53" s="86" t="s">
        <v>150</v>
      </c>
      <c r="D53" s="95" t="s">
        <v>99</v>
      </c>
      <c r="E53" s="641">
        <v>35000</v>
      </c>
      <c r="F53" s="641">
        <v>35000</v>
      </c>
      <c r="G53" s="641">
        <v>35000</v>
      </c>
      <c r="H53" s="641">
        <v>35000</v>
      </c>
      <c r="I53" s="641">
        <v>35000</v>
      </c>
      <c r="J53" s="641">
        <v>35000</v>
      </c>
      <c r="K53" s="642">
        <f t="shared" si="5"/>
        <v>210000</v>
      </c>
      <c r="L53" s="874"/>
    </row>
    <row r="54" ht="25" customHeight="1" spans="1:12">
      <c r="A54" s="95"/>
      <c r="B54" s="864" t="s">
        <v>120</v>
      </c>
      <c r="C54" s="88">
        <v>11</v>
      </c>
      <c r="D54" s="88"/>
      <c r="E54" s="872">
        <f t="shared" ref="E54:K54" si="6">SUM(E43:E53)</f>
        <v>385000</v>
      </c>
      <c r="F54" s="872">
        <f t="shared" si="6"/>
        <v>385000</v>
      </c>
      <c r="G54" s="872">
        <f t="shared" si="6"/>
        <v>385000</v>
      </c>
      <c r="H54" s="872">
        <f t="shared" si="6"/>
        <v>385000</v>
      </c>
      <c r="I54" s="872">
        <f t="shared" si="6"/>
        <v>385000</v>
      </c>
      <c r="J54" s="872">
        <f t="shared" si="6"/>
        <v>385000</v>
      </c>
      <c r="K54" s="866">
        <f t="shared" si="6"/>
        <v>2310000</v>
      </c>
      <c r="L54" s="874"/>
    </row>
    <row r="55" ht="25" customHeight="1" spans="1:12">
      <c r="A55" s="95"/>
      <c r="B55" s="867"/>
      <c r="C55" s="88"/>
      <c r="D55" s="88"/>
      <c r="E55" s="88"/>
      <c r="F55" s="647"/>
      <c r="G55" s="647"/>
      <c r="H55" s="647"/>
      <c r="I55" s="647"/>
      <c r="J55" s="647"/>
      <c r="K55" s="642"/>
      <c r="L55" s="874"/>
    </row>
    <row r="56" ht="25" customHeight="1" spans="1:12">
      <c r="A56" s="95"/>
      <c r="B56" s="864" t="s">
        <v>156</v>
      </c>
      <c r="C56" s="88"/>
      <c r="D56" s="88"/>
      <c r="E56" s="88"/>
      <c r="F56" s="647"/>
      <c r="G56" s="647"/>
      <c r="H56" s="647"/>
      <c r="I56" s="647"/>
      <c r="J56" s="647"/>
      <c r="K56" s="642"/>
      <c r="L56" s="874"/>
    </row>
    <row r="57" ht="25" customHeight="1" spans="1:12">
      <c r="A57" s="95">
        <v>1</v>
      </c>
      <c r="B57" s="643" t="s">
        <v>841</v>
      </c>
      <c r="C57" s="83" t="s">
        <v>158</v>
      </c>
      <c r="D57" s="640" t="s">
        <v>124</v>
      </c>
      <c r="E57" s="641">
        <v>35000</v>
      </c>
      <c r="F57" s="641">
        <v>35000</v>
      </c>
      <c r="G57" s="641">
        <v>35000</v>
      </c>
      <c r="H57" s="641">
        <v>35000</v>
      </c>
      <c r="I57" s="641">
        <v>35000</v>
      </c>
      <c r="J57" s="641">
        <v>35000</v>
      </c>
      <c r="K57" s="642">
        <f t="shared" ref="K57:K71" si="7">SUM(E57:J57)</f>
        <v>210000</v>
      </c>
      <c r="L57" s="874"/>
    </row>
    <row r="58" ht="25" customHeight="1" spans="1:12">
      <c r="A58" s="95">
        <v>2</v>
      </c>
      <c r="B58" s="643" t="s">
        <v>159</v>
      </c>
      <c r="C58" s="83" t="s">
        <v>160</v>
      </c>
      <c r="D58" s="640" t="s">
        <v>161</v>
      </c>
      <c r="E58" s="641">
        <v>35000</v>
      </c>
      <c r="F58" s="641">
        <v>35000</v>
      </c>
      <c r="G58" s="641">
        <v>35000</v>
      </c>
      <c r="H58" s="641">
        <v>35000</v>
      </c>
      <c r="I58" s="641">
        <v>35000</v>
      </c>
      <c r="J58" s="641">
        <v>35000</v>
      </c>
      <c r="K58" s="642">
        <f t="shared" si="7"/>
        <v>210000</v>
      </c>
      <c r="L58" s="874"/>
    </row>
    <row r="59" ht="25" customHeight="1" spans="1:12">
      <c r="A59" s="95"/>
      <c r="B59" s="864" t="s">
        <v>120</v>
      </c>
      <c r="C59" s="88">
        <v>2</v>
      </c>
      <c r="D59" s="88"/>
      <c r="E59" s="872">
        <f t="shared" ref="E59:K59" si="8">SUM(E57:E58)</f>
        <v>70000</v>
      </c>
      <c r="F59" s="872">
        <f t="shared" si="8"/>
        <v>70000</v>
      </c>
      <c r="G59" s="872">
        <f t="shared" si="8"/>
        <v>70000</v>
      </c>
      <c r="H59" s="872">
        <f t="shared" si="8"/>
        <v>70000</v>
      </c>
      <c r="I59" s="872">
        <f t="shared" si="8"/>
        <v>70000</v>
      </c>
      <c r="J59" s="872">
        <f t="shared" si="8"/>
        <v>70000</v>
      </c>
      <c r="K59" s="876">
        <f t="shared" si="8"/>
        <v>420000</v>
      </c>
      <c r="L59" s="874"/>
    </row>
    <row r="60" ht="25" customHeight="1" spans="1:12">
      <c r="A60" s="95"/>
      <c r="B60" s="864"/>
      <c r="C60" s="88"/>
      <c r="D60" s="88"/>
      <c r="E60" s="88"/>
      <c r="F60" s="647"/>
      <c r="G60" s="647"/>
      <c r="H60" s="647"/>
      <c r="I60" s="647"/>
      <c r="J60" s="647"/>
      <c r="K60" s="642"/>
      <c r="L60" s="874"/>
    </row>
    <row r="61" ht="25" customHeight="1" spans="1:12">
      <c r="A61" s="95"/>
      <c r="B61" s="864" t="s">
        <v>162</v>
      </c>
      <c r="C61" s="88"/>
      <c r="D61" s="88"/>
      <c r="E61" s="88"/>
      <c r="F61" s="647"/>
      <c r="G61" s="647"/>
      <c r="H61" s="647"/>
      <c r="I61" s="647"/>
      <c r="J61" s="647"/>
      <c r="K61" s="642"/>
      <c r="L61" s="874"/>
    </row>
    <row r="62" ht="25" customHeight="1" spans="1:12">
      <c r="A62" s="95">
        <v>1</v>
      </c>
      <c r="B62" s="870" t="s">
        <v>842</v>
      </c>
      <c r="C62" s="87" t="s">
        <v>843</v>
      </c>
      <c r="D62" s="95" t="s">
        <v>124</v>
      </c>
      <c r="E62" s="641">
        <v>35000</v>
      </c>
      <c r="F62" s="641">
        <v>35000</v>
      </c>
      <c r="G62" s="641">
        <v>35000</v>
      </c>
      <c r="H62" s="641">
        <v>35000</v>
      </c>
      <c r="I62" s="641">
        <v>35000</v>
      </c>
      <c r="J62" s="641">
        <v>35000</v>
      </c>
      <c r="K62" s="642">
        <f t="shared" si="7"/>
        <v>210000</v>
      </c>
      <c r="L62" s="874"/>
    </row>
    <row r="63" ht="25" customHeight="1" spans="1:12">
      <c r="A63" s="95">
        <v>2</v>
      </c>
      <c r="B63" s="873" t="s">
        <v>844</v>
      </c>
      <c r="C63" s="87" t="s">
        <v>845</v>
      </c>
      <c r="D63" s="640" t="s">
        <v>49</v>
      </c>
      <c r="E63" s="641">
        <v>35000</v>
      </c>
      <c r="F63" s="641">
        <v>35000</v>
      </c>
      <c r="G63" s="641">
        <v>35000</v>
      </c>
      <c r="H63" s="641">
        <v>35000</v>
      </c>
      <c r="I63" s="641">
        <v>35000</v>
      </c>
      <c r="J63" s="641">
        <v>35000</v>
      </c>
      <c r="K63" s="642">
        <f t="shared" si="7"/>
        <v>210000</v>
      </c>
      <c r="L63" s="874"/>
    </row>
    <row r="64" ht="25" customHeight="1" spans="1:12">
      <c r="A64" s="95">
        <v>3</v>
      </c>
      <c r="B64" s="643" t="s">
        <v>165</v>
      </c>
      <c r="C64" s="86" t="s">
        <v>51</v>
      </c>
      <c r="D64" s="95" t="s">
        <v>52</v>
      </c>
      <c r="E64" s="641">
        <v>35000</v>
      </c>
      <c r="F64" s="641">
        <v>35000</v>
      </c>
      <c r="G64" s="641">
        <v>35000</v>
      </c>
      <c r="H64" s="641">
        <v>35000</v>
      </c>
      <c r="I64" s="641">
        <v>35000</v>
      </c>
      <c r="J64" s="641">
        <v>35000</v>
      </c>
      <c r="K64" s="642">
        <f t="shared" si="7"/>
        <v>210000</v>
      </c>
      <c r="L64" s="874"/>
    </row>
    <row r="65" ht="25" customHeight="1" spans="1:12">
      <c r="A65" s="95">
        <v>4</v>
      </c>
      <c r="B65" s="873" t="s">
        <v>846</v>
      </c>
      <c r="C65" s="87" t="s">
        <v>167</v>
      </c>
      <c r="D65" s="640" t="s">
        <v>502</v>
      </c>
      <c r="E65" s="641">
        <v>35000</v>
      </c>
      <c r="F65" s="641">
        <v>35000</v>
      </c>
      <c r="G65" s="641">
        <v>35000</v>
      </c>
      <c r="H65" s="641">
        <v>35000</v>
      </c>
      <c r="I65" s="641">
        <v>35000</v>
      </c>
      <c r="J65" s="641">
        <v>35000</v>
      </c>
      <c r="K65" s="642">
        <f t="shared" si="7"/>
        <v>210000</v>
      </c>
      <c r="L65" s="874"/>
    </row>
    <row r="66" ht="25" customHeight="1" spans="1:12">
      <c r="A66" s="95">
        <v>5</v>
      </c>
      <c r="B66" s="877" t="s">
        <v>847</v>
      </c>
      <c r="C66" s="87" t="s">
        <v>51</v>
      </c>
      <c r="D66" s="640" t="s">
        <v>189</v>
      </c>
      <c r="E66" s="641">
        <v>35000</v>
      </c>
      <c r="F66" s="641">
        <v>35000</v>
      </c>
      <c r="G66" s="641">
        <v>35000</v>
      </c>
      <c r="H66" s="641">
        <v>35000</v>
      </c>
      <c r="I66" s="641">
        <v>35000</v>
      </c>
      <c r="J66" s="641">
        <v>35000</v>
      </c>
      <c r="K66" s="642">
        <f t="shared" si="7"/>
        <v>210000</v>
      </c>
      <c r="L66" s="874"/>
    </row>
    <row r="67" ht="25" customHeight="1" spans="1:12">
      <c r="A67" s="95">
        <v>6</v>
      </c>
      <c r="B67" s="643" t="s">
        <v>169</v>
      </c>
      <c r="C67" s="86" t="s">
        <v>150</v>
      </c>
      <c r="D67" s="95" t="s">
        <v>131</v>
      </c>
      <c r="E67" s="641">
        <v>35000</v>
      </c>
      <c r="F67" s="641">
        <v>35000</v>
      </c>
      <c r="G67" s="641">
        <v>35000</v>
      </c>
      <c r="H67" s="641">
        <v>35000</v>
      </c>
      <c r="I67" s="641">
        <v>35000</v>
      </c>
      <c r="J67" s="641">
        <v>35000</v>
      </c>
      <c r="K67" s="642">
        <f t="shared" si="7"/>
        <v>210000</v>
      </c>
      <c r="L67" s="874"/>
    </row>
    <row r="68" ht="25" customHeight="1" spans="1:12">
      <c r="A68" s="95">
        <v>7</v>
      </c>
      <c r="B68" s="643" t="s">
        <v>171</v>
      </c>
      <c r="C68" s="87" t="s">
        <v>71</v>
      </c>
      <c r="D68" s="95" t="s">
        <v>131</v>
      </c>
      <c r="E68" s="641">
        <v>35000</v>
      </c>
      <c r="F68" s="641">
        <v>35000</v>
      </c>
      <c r="G68" s="641">
        <v>35000</v>
      </c>
      <c r="H68" s="641">
        <v>35000</v>
      </c>
      <c r="I68" s="641">
        <v>35000</v>
      </c>
      <c r="J68" s="641">
        <v>35000</v>
      </c>
      <c r="K68" s="642">
        <f t="shared" si="7"/>
        <v>210000</v>
      </c>
      <c r="L68" s="874"/>
    </row>
    <row r="69" ht="25" customHeight="1" spans="1:12">
      <c r="A69" s="95">
        <v>8</v>
      </c>
      <c r="B69" s="643" t="s">
        <v>172</v>
      </c>
      <c r="C69" s="87" t="s">
        <v>71</v>
      </c>
      <c r="D69" s="95" t="s">
        <v>131</v>
      </c>
      <c r="E69" s="641">
        <v>35000</v>
      </c>
      <c r="F69" s="641">
        <v>35000</v>
      </c>
      <c r="G69" s="641">
        <v>35000</v>
      </c>
      <c r="H69" s="641">
        <v>35000</v>
      </c>
      <c r="I69" s="641">
        <v>35000</v>
      </c>
      <c r="J69" s="641">
        <v>35000</v>
      </c>
      <c r="K69" s="642">
        <f t="shared" si="7"/>
        <v>210000</v>
      </c>
      <c r="L69" s="874"/>
    </row>
    <row r="70" ht="25" customHeight="1" spans="1:12">
      <c r="A70" s="95">
        <v>9</v>
      </c>
      <c r="B70" s="643" t="s">
        <v>173</v>
      </c>
      <c r="C70" s="86" t="s">
        <v>553</v>
      </c>
      <c r="D70" s="95" t="s">
        <v>69</v>
      </c>
      <c r="E70" s="641">
        <v>35000</v>
      </c>
      <c r="F70" s="641">
        <v>35000</v>
      </c>
      <c r="G70" s="641">
        <v>35000</v>
      </c>
      <c r="H70" s="641">
        <v>35000</v>
      </c>
      <c r="I70" s="641">
        <v>35000</v>
      </c>
      <c r="J70" s="641">
        <v>35000</v>
      </c>
      <c r="K70" s="642">
        <f t="shared" si="7"/>
        <v>210000</v>
      </c>
      <c r="L70" s="874"/>
    </row>
    <row r="71" ht="25" customHeight="1" spans="1:12">
      <c r="A71" s="95">
        <v>10</v>
      </c>
      <c r="B71" s="643" t="s">
        <v>177</v>
      </c>
      <c r="C71" s="86" t="s">
        <v>150</v>
      </c>
      <c r="D71" s="95" t="s">
        <v>74</v>
      </c>
      <c r="E71" s="641">
        <v>35000</v>
      </c>
      <c r="F71" s="641">
        <v>35000</v>
      </c>
      <c r="G71" s="641">
        <v>35000</v>
      </c>
      <c r="H71" s="641">
        <v>35000</v>
      </c>
      <c r="I71" s="641">
        <v>35000</v>
      </c>
      <c r="J71" s="641">
        <v>35000</v>
      </c>
      <c r="K71" s="642">
        <f t="shared" si="7"/>
        <v>210000</v>
      </c>
      <c r="L71" s="874"/>
    </row>
    <row r="72" ht="25" customHeight="1" spans="1:12">
      <c r="A72" s="95"/>
      <c r="B72" s="864" t="s">
        <v>120</v>
      </c>
      <c r="C72" s="88">
        <v>10</v>
      </c>
      <c r="D72" s="88"/>
      <c r="E72" s="872">
        <f t="shared" ref="E72:K72" si="9">SUM(E62:E71)</f>
        <v>350000</v>
      </c>
      <c r="F72" s="872">
        <f t="shared" si="9"/>
        <v>350000</v>
      </c>
      <c r="G72" s="872">
        <f t="shared" si="9"/>
        <v>350000</v>
      </c>
      <c r="H72" s="872">
        <f t="shared" si="9"/>
        <v>350000</v>
      </c>
      <c r="I72" s="872">
        <f t="shared" si="9"/>
        <v>350000</v>
      </c>
      <c r="J72" s="872">
        <f t="shared" si="9"/>
        <v>350000</v>
      </c>
      <c r="K72" s="876">
        <f t="shared" si="9"/>
        <v>2100000</v>
      </c>
      <c r="L72" s="874"/>
    </row>
    <row r="73" ht="25" customHeight="1" spans="1:12">
      <c r="A73" s="95"/>
      <c r="B73" s="867"/>
      <c r="C73" s="88"/>
      <c r="D73" s="88"/>
      <c r="E73" s="88"/>
      <c r="F73" s="647"/>
      <c r="G73" s="647"/>
      <c r="H73" s="647"/>
      <c r="I73" s="647"/>
      <c r="J73" s="647"/>
      <c r="K73" s="642"/>
      <c r="L73" s="874"/>
    </row>
    <row r="74" ht="25" customHeight="1" spans="1:12">
      <c r="A74" s="95"/>
      <c r="B74" s="864" t="s">
        <v>180</v>
      </c>
      <c r="C74" s="88"/>
      <c r="D74" s="88"/>
      <c r="E74" s="88"/>
      <c r="F74" s="647"/>
      <c r="G74" s="647"/>
      <c r="H74" s="647"/>
      <c r="I74" s="647"/>
      <c r="J74" s="647"/>
      <c r="K74" s="642"/>
      <c r="L74" s="874"/>
    </row>
    <row r="75" ht="25" customHeight="1" spans="1:12">
      <c r="A75" s="95">
        <v>1</v>
      </c>
      <c r="B75" s="643" t="s">
        <v>181</v>
      </c>
      <c r="C75" s="86" t="s">
        <v>182</v>
      </c>
      <c r="D75" s="95" t="s">
        <v>124</v>
      </c>
      <c r="E75" s="641">
        <v>35000</v>
      </c>
      <c r="F75" s="641">
        <v>35000</v>
      </c>
      <c r="G75" s="641">
        <v>35000</v>
      </c>
      <c r="H75" s="641">
        <v>35000</v>
      </c>
      <c r="I75" s="641">
        <v>35000</v>
      </c>
      <c r="J75" s="641">
        <v>35000</v>
      </c>
      <c r="K75" s="642">
        <f t="shared" ref="K75:K81" si="10">SUM(E75:J75)</f>
        <v>210000</v>
      </c>
      <c r="L75" s="874"/>
    </row>
    <row r="76" ht="25" customHeight="1" spans="1:12">
      <c r="A76" s="95">
        <v>2</v>
      </c>
      <c r="B76" s="639" t="s">
        <v>848</v>
      </c>
      <c r="C76" s="86" t="s">
        <v>849</v>
      </c>
      <c r="D76" s="640" t="s">
        <v>850</v>
      </c>
      <c r="E76" s="641">
        <v>35000</v>
      </c>
      <c r="F76" s="641">
        <v>35000</v>
      </c>
      <c r="G76" s="641">
        <v>35000</v>
      </c>
      <c r="H76" s="641">
        <v>35000</v>
      </c>
      <c r="I76" s="641">
        <v>35000</v>
      </c>
      <c r="J76" s="641">
        <v>35000</v>
      </c>
      <c r="K76" s="642">
        <f t="shared" si="10"/>
        <v>210000</v>
      </c>
      <c r="L76" s="874"/>
    </row>
    <row r="77" ht="25" customHeight="1" spans="1:12">
      <c r="A77" s="95">
        <v>3</v>
      </c>
      <c r="B77" s="351" t="s">
        <v>183</v>
      </c>
      <c r="C77" s="83" t="s">
        <v>851</v>
      </c>
      <c r="D77" s="95" t="s">
        <v>161</v>
      </c>
      <c r="E77" s="641">
        <v>35000</v>
      </c>
      <c r="F77" s="641">
        <v>35000</v>
      </c>
      <c r="G77" s="641">
        <v>35000</v>
      </c>
      <c r="H77" s="641">
        <v>35000</v>
      </c>
      <c r="I77" s="641">
        <v>35000</v>
      </c>
      <c r="J77" s="641">
        <v>35000</v>
      </c>
      <c r="K77" s="642">
        <f t="shared" si="10"/>
        <v>210000</v>
      </c>
      <c r="L77" s="874"/>
    </row>
    <row r="78" ht="25" customHeight="1" spans="1:12">
      <c r="A78" s="95">
        <v>4</v>
      </c>
      <c r="B78" s="643" t="s">
        <v>187</v>
      </c>
      <c r="C78" s="86" t="s">
        <v>188</v>
      </c>
      <c r="D78" s="640" t="s">
        <v>212</v>
      </c>
      <c r="E78" s="641">
        <v>35000</v>
      </c>
      <c r="F78" s="641">
        <v>35000</v>
      </c>
      <c r="G78" s="641">
        <v>35000</v>
      </c>
      <c r="H78" s="641">
        <v>35000</v>
      </c>
      <c r="I78" s="641">
        <v>35000</v>
      </c>
      <c r="J78" s="641">
        <v>35000</v>
      </c>
      <c r="K78" s="642">
        <f t="shared" si="10"/>
        <v>210000</v>
      </c>
      <c r="L78" s="874"/>
    </row>
    <row r="79" ht="25" customHeight="1" spans="1:12">
      <c r="A79" s="95">
        <v>5</v>
      </c>
      <c r="B79" s="643" t="s">
        <v>194</v>
      </c>
      <c r="C79" s="86" t="s">
        <v>179</v>
      </c>
      <c r="D79" s="95" t="s">
        <v>77</v>
      </c>
      <c r="E79" s="641">
        <v>35000</v>
      </c>
      <c r="F79" s="641">
        <v>35000</v>
      </c>
      <c r="G79" s="641">
        <v>35000</v>
      </c>
      <c r="H79" s="641">
        <v>35000</v>
      </c>
      <c r="I79" s="641">
        <v>35000</v>
      </c>
      <c r="J79" s="641">
        <v>35000</v>
      </c>
      <c r="K79" s="642">
        <f t="shared" si="10"/>
        <v>210000</v>
      </c>
      <c r="L79" s="874"/>
    </row>
    <row r="80" ht="25" customHeight="1" spans="1:12">
      <c r="A80" s="95">
        <v>6</v>
      </c>
      <c r="B80" s="643" t="s">
        <v>198</v>
      </c>
      <c r="C80" s="86" t="s">
        <v>179</v>
      </c>
      <c r="D80" s="95" t="s">
        <v>99</v>
      </c>
      <c r="E80" s="641">
        <v>35000</v>
      </c>
      <c r="F80" s="641">
        <v>35000</v>
      </c>
      <c r="G80" s="641">
        <v>35000</v>
      </c>
      <c r="H80" s="641">
        <v>35000</v>
      </c>
      <c r="I80" s="641">
        <v>35000</v>
      </c>
      <c r="J80" s="641">
        <v>35000</v>
      </c>
      <c r="K80" s="642">
        <f t="shared" si="10"/>
        <v>210000</v>
      </c>
      <c r="L80" s="874"/>
    </row>
    <row r="81" ht="25" customHeight="1" spans="1:12">
      <c r="A81" s="95">
        <v>7</v>
      </c>
      <c r="B81" s="643" t="s">
        <v>200</v>
      </c>
      <c r="C81" s="86" t="s">
        <v>201</v>
      </c>
      <c r="D81" s="95" t="s">
        <v>111</v>
      </c>
      <c r="E81" s="641">
        <v>35000</v>
      </c>
      <c r="F81" s="641">
        <v>35000</v>
      </c>
      <c r="G81" s="641">
        <v>35000</v>
      </c>
      <c r="H81" s="641">
        <v>35000</v>
      </c>
      <c r="I81" s="641">
        <v>35000</v>
      </c>
      <c r="J81" s="641">
        <v>35000</v>
      </c>
      <c r="K81" s="642">
        <f t="shared" si="10"/>
        <v>210000</v>
      </c>
      <c r="L81" s="874"/>
    </row>
    <row r="82" ht="25" customHeight="1" spans="1:12">
      <c r="A82" s="95"/>
      <c r="B82" s="864" t="s">
        <v>120</v>
      </c>
      <c r="C82" s="88">
        <v>7</v>
      </c>
      <c r="D82" s="88"/>
      <c r="E82" s="878">
        <f t="shared" ref="E82:K82" si="11">SUM(E75:E81)</f>
        <v>245000</v>
      </c>
      <c r="F82" s="878">
        <f t="shared" si="11"/>
        <v>245000</v>
      </c>
      <c r="G82" s="878">
        <f t="shared" si="11"/>
        <v>245000</v>
      </c>
      <c r="H82" s="878">
        <f t="shared" si="11"/>
        <v>245000</v>
      </c>
      <c r="I82" s="878">
        <f t="shared" si="11"/>
        <v>245000</v>
      </c>
      <c r="J82" s="878">
        <f t="shared" si="11"/>
        <v>245000</v>
      </c>
      <c r="K82" s="882">
        <f t="shared" si="11"/>
        <v>1470000</v>
      </c>
      <c r="L82" s="874"/>
    </row>
    <row r="83" ht="25" customHeight="1" spans="1:12">
      <c r="A83" s="95"/>
      <c r="B83" s="864"/>
      <c r="C83" s="88"/>
      <c r="D83" s="88"/>
      <c r="E83" s="88"/>
      <c r="F83" s="647"/>
      <c r="G83" s="647"/>
      <c r="H83" s="647"/>
      <c r="I83" s="647"/>
      <c r="J83" s="647"/>
      <c r="K83" s="642"/>
      <c r="L83" s="874"/>
    </row>
    <row r="84" ht="25" customHeight="1" spans="1:12">
      <c r="A84" s="95"/>
      <c r="B84" s="864" t="s">
        <v>202</v>
      </c>
      <c r="C84" s="879"/>
      <c r="D84" s="88"/>
      <c r="E84" s="88"/>
      <c r="F84" s="647"/>
      <c r="G84" s="647"/>
      <c r="H84" s="647"/>
      <c r="I84" s="647"/>
      <c r="J84" s="647"/>
      <c r="K84" s="642"/>
      <c r="L84" s="874"/>
    </row>
    <row r="85" ht="25" customHeight="1" spans="1:12">
      <c r="A85" s="95">
        <v>1</v>
      </c>
      <c r="B85" s="643" t="s">
        <v>205</v>
      </c>
      <c r="C85" s="86" t="s">
        <v>142</v>
      </c>
      <c r="D85" s="95" t="s">
        <v>38</v>
      </c>
      <c r="E85" s="641">
        <v>35000</v>
      </c>
      <c r="F85" s="641">
        <v>35000</v>
      </c>
      <c r="G85" s="641">
        <v>35000</v>
      </c>
      <c r="H85" s="641">
        <v>35000</v>
      </c>
      <c r="I85" s="641">
        <v>35000</v>
      </c>
      <c r="J85" s="641">
        <v>35000</v>
      </c>
      <c r="K85" s="642">
        <f t="shared" ref="K85:K94" si="12">SUM(E85:J85)</f>
        <v>210000</v>
      </c>
      <c r="L85" s="874"/>
    </row>
    <row r="86" ht="25" customHeight="1" spans="1:12">
      <c r="A86" s="95">
        <v>2</v>
      </c>
      <c r="B86" s="643" t="s">
        <v>203</v>
      </c>
      <c r="C86" s="86" t="s">
        <v>142</v>
      </c>
      <c r="D86" s="95" t="s">
        <v>38</v>
      </c>
      <c r="E86" s="641">
        <v>35000</v>
      </c>
      <c r="F86" s="641">
        <v>35000</v>
      </c>
      <c r="G86" s="641">
        <v>35000</v>
      </c>
      <c r="H86" s="641">
        <v>35000</v>
      </c>
      <c r="I86" s="641">
        <v>35000</v>
      </c>
      <c r="J86" s="641">
        <v>35000</v>
      </c>
      <c r="K86" s="642">
        <f t="shared" si="12"/>
        <v>210000</v>
      </c>
      <c r="L86" s="874"/>
    </row>
    <row r="87" ht="25" customHeight="1" spans="1:12">
      <c r="A87" s="95">
        <v>3</v>
      </c>
      <c r="B87" s="643" t="s">
        <v>208</v>
      </c>
      <c r="C87" s="86" t="s">
        <v>142</v>
      </c>
      <c r="D87" s="95" t="s">
        <v>41</v>
      </c>
      <c r="E87" s="641">
        <v>35000</v>
      </c>
      <c r="F87" s="641">
        <v>35000</v>
      </c>
      <c r="G87" s="641">
        <v>35000</v>
      </c>
      <c r="H87" s="641">
        <v>35000</v>
      </c>
      <c r="I87" s="641">
        <v>35000</v>
      </c>
      <c r="J87" s="641">
        <v>35000</v>
      </c>
      <c r="K87" s="642">
        <f t="shared" si="12"/>
        <v>210000</v>
      </c>
      <c r="L87" s="874"/>
    </row>
    <row r="88" ht="25" customHeight="1" spans="1:12">
      <c r="A88" s="95">
        <v>4</v>
      </c>
      <c r="B88" s="643" t="s">
        <v>209</v>
      </c>
      <c r="C88" s="86" t="s">
        <v>852</v>
      </c>
      <c r="D88" s="640" t="s">
        <v>55</v>
      </c>
      <c r="E88" s="641">
        <v>35000</v>
      </c>
      <c r="F88" s="641">
        <v>35000</v>
      </c>
      <c r="G88" s="641">
        <v>35000</v>
      </c>
      <c r="H88" s="641">
        <v>35000</v>
      </c>
      <c r="I88" s="641">
        <v>35000</v>
      </c>
      <c r="J88" s="641">
        <v>35000</v>
      </c>
      <c r="K88" s="642">
        <f t="shared" si="12"/>
        <v>210000</v>
      </c>
      <c r="L88" s="874"/>
    </row>
    <row r="89" ht="25" customHeight="1" spans="1:12">
      <c r="A89" s="95">
        <v>5</v>
      </c>
      <c r="B89" s="643" t="s">
        <v>210</v>
      </c>
      <c r="C89" s="83" t="s">
        <v>167</v>
      </c>
      <c r="D89" s="640" t="s">
        <v>502</v>
      </c>
      <c r="E89" s="641">
        <v>35000</v>
      </c>
      <c r="F89" s="641">
        <v>35000</v>
      </c>
      <c r="G89" s="641">
        <v>35000</v>
      </c>
      <c r="H89" s="641">
        <v>35000</v>
      </c>
      <c r="I89" s="641">
        <v>35000</v>
      </c>
      <c r="J89" s="641">
        <v>35000</v>
      </c>
      <c r="K89" s="642">
        <f t="shared" si="12"/>
        <v>210000</v>
      </c>
      <c r="L89" s="874"/>
    </row>
    <row r="90" ht="25" customHeight="1" spans="1:12">
      <c r="A90" s="95">
        <v>6</v>
      </c>
      <c r="B90" s="643" t="s">
        <v>211</v>
      </c>
      <c r="C90" s="83" t="s">
        <v>51</v>
      </c>
      <c r="D90" s="640" t="s">
        <v>501</v>
      </c>
      <c r="E90" s="641">
        <v>35000</v>
      </c>
      <c r="F90" s="641">
        <v>35000</v>
      </c>
      <c r="G90" s="641">
        <v>35000</v>
      </c>
      <c r="H90" s="641">
        <v>35000</v>
      </c>
      <c r="I90" s="641">
        <v>35000</v>
      </c>
      <c r="J90" s="641">
        <v>35000</v>
      </c>
      <c r="K90" s="642">
        <f t="shared" si="12"/>
        <v>210000</v>
      </c>
      <c r="L90" s="874"/>
    </row>
    <row r="91" ht="25" customHeight="1" spans="1:12">
      <c r="A91" s="95">
        <v>7</v>
      </c>
      <c r="B91" s="643" t="s">
        <v>213</v>
      </c>
      <c r="C91" s="87" t="s">
        <v>71</v>
      </c>
      <c r="D91" s="640" t="s">
        <v>131</v>
      </c>
      <c r="E91" s="641">
        <v>35000</v>
      </c>
      <c r="F91" s="641">
        <v>35000</v>
      </c>
      <c r="G91" s="641">
        <v>35000</v>
      </c>
      <c r="H91" s="641">
        <v>35000</v>
      </c>
      <c r="I91" s="641">
        <v>35000</v>
      </c>
      <c r="J91" s="641">
        <v>35000</v>
      </c>
      <c r="K91" s="642">
        <f t="shared" si="12"/>
        <v>210000</v>
      </c>
      <c r="L91" s="874"/>
    </row>
    <row r="92" ht="25" customHeight="1" spans="1:12">
      <c r="A92" s="95">
        <v>8</v>
      </c>
      <c r="B92" s="643" t="s">
        <v>214</v>
      </c>
      <c r="C92" s="87" t="s">
        <v>167</v>
      </c>
      <c r="D92" s="640" t="s">
        <v>66</v>
      </c>
      <c r="E92" s="641">
        <v>35000</v>
      </c>
      <c r="F92" s="641">
        <v>35000</v>
      </c>
      <c r="G92" s="641">
        <v>35000</v>
      </c>
      <c r="H92" s="641">
        <v>35000</v>
      </c>
      <c r="I92" s="641">
        <v>35000</v>
      </c>
      <c r="J92" s="641">
        <v>35000</v>
      </c>
      <c r="K92" s="642">
        <f t="shared" si="12"/>
        <v>210000</v>
      </c>
      <c r="L92" s="874"/>
    </row>
    <row r="93" ht="25" customHeight="1" spans="1:12">
      <c r="A93" s="95">
        <v>9</v>
      </c>
      <c r="B93" s="643" t="s">
        <v>217</v>
      </c>
      <c r="C93" s="86" t="s">
        <v>218</v>
      </c>
      <c r="D93" s="95" t="s">
        <v>74</v>
      </c>
      <c r="E93" s="641">
        <v>35000</v>
      </c>
      <c r="F93" s="641">
        <v>35000</v>
      </c>
      <c r="G93" s="641">
        <v>35000</v>
      </c>
      <c r="H93" s="641">
        <v>35000</v>
      </c>
      <c r="I93" s="641">
        <v>35000</v>
      </c>
      <c r="J93" s="641">
        <v>35000</v>
      </c>
      <c r="K93" s="642">
        <f t="shared" si="12"/>
        <v>210000</v>
      </c>
      <c r="L93" s="874"/>
    </row>
    <row r="94" ht="25" customHeight="1" spans="1:12">
      <c r="A94" s="95">
        <v>10</v>
      </c>
      <c r="B94" s="643" t="s">
        <v>221</v>
      </c>
      <c r="C94" s="87" t="s">
        <v>222</v>
      </c>
      <c r="D94" s="640" t="s">
        <v>108</v>
      </c>
      <c r="E94" s="641">
        <v>35000</v>
      </c>
      <c r="F94" s="641">
        <v>35000</v>
      </c>
      <c r="G94" s="641">
        <v>35000</v>
      </c>
      <c r="H94" s="641">
        <v>35000</v>
      </c>
      <c r="I94" s="641">
        <v>35000</v>
      </c>
      <c r="J94" s="641">
        <v>35000</v>
      </c>
      <c r="K94" s="642">
        <f t="shared" si="12"/>
        <v>210000</v>
      </c>
      <c r="L94" s="874"/>
    </row>
    <row r="95" ht="25" customHeight="1" spans="1:12">
      <c r="A95" s="95"/>
      <c r="B95" s="864" t="s">
        <v>120</v>
      </c>
      <c r="C95" s="88">
        <v>11</v>
      </c>
      <c r="D95" s="88"/>
      <c r="E95" s="878">
        <f t="shared" ref="E95:K95" si="13">SUM(E85:E94)</f>
        <v>350000</v>
      </c>
      <c r="F95" s="878">
        <f t="shared" si="13"/>
        <v>350000</v>
      </c>
      <c r="G95" s="878">
        <f t="shared" si="13"/>
        <v>350000</v>
      </c>
      <c r="H95" s="878">
        <f t="shared" si="13"/>
        <v>350000</v>
      </c>
      <c r="I95" s="878">
        <f t="shared" si="13"/>
        <v>350000</v>
      </c>
      <c r="J95" s="878">
        <f t="shared" si="13"/>
        <v>350000</v>
      </c>
      <c r="K95" s="883">
        <f t="shared" si="13"/>
        <v>2100000</v>
      </c>
      <c r="L95" s="874"/>
    </row>
    <row r="96" ht="25" customHeight="1" spans="1:12">
      <c r="A96" s="95"/>
      <c r="B96" s="867"/>
      <c r="C96" s="88"/>
      <c r="D96" s="88"/>
      <c r="E96" s="88"/>
      <c r="F96" s="647"/>
      <c r="G96" s="647"/>
      <c r="H96" s="647"/>
      <c r="I96" s="647"/>
      <c r="J96" s="647"/>
      <c r="K96" s="642"/>
      <c r="L96" s="874"/>
    </row>
    <row r="97" ht="25" customHeight="1" spans="1:12">
      <c r="A97" s="95"/>
      <c r="B97" s="864" t="s">
        <v>224</v>
      </c>
      <c r="C97" s="88"/>
      <c r="D97" s="88"/>
      <c r="E97" s="88"/>
      <c r="F97" s="647"/>
      <c r="G97" s="647"/>
      <c r="H97" s="647"/>
      <c r="I97" s="647"/>
      <c r="J97" s="647"/>
      <c r="K97" s="642"/>
      <c r="L97" s="874"/>
    </row>
    <row r="98" ht="25" customHeight="1" spans="1:12">
      <c r="A98" s="95">
        <v>1</v>
      </c>
      <c r="B98" s="639" t="s">
        <v>225</v>
      </c>
      <c r="C98" s="86" t="s">
        <v>554</v>
      </c>
      <c r="D98" s="871" t="s">
        <v>505</v>
      </c>
      <c r="E98" s="641">
        <v>35000</v>
      </c>
      <c r="F98" s="641">
        <v>35000</v>
      </c>
      <c r="G98" s="641">
        <v>35000</v>
      </c>
      <c r="H98" s="641">
        <v>35000</v>
      </c>
      <c r="I98" s="641">
        <v>35000</v>
      </c>
      <c r="J98" s="641">
        <v>35000</v>
      </c>
      <c r="K98" s="642">
        <f t="shared" ref="K98:K101" si="14">SUM(E98:J98)</f>
        <v>210000</v>
      </c>
      <c r="L98" s="874"/>
    </row>
    <row r="99" ht="25" customHeight="1" spans="1:12">
      <c r="A99" s="95">
        <v>2</v>
      </c>
      <c r="B99" s="643" t="s">
        <v>227</v>
      </c>
      <c r="C99" s="86" t="s">
        <v>228</v>
      </c>
      <c r="D99" s="640" t="s">
        <v>212</v>
      </c>
      <c r="E99" s="641">
        <v>35000</v>
      </c>
      <c r="F99" s="641">
        <v>35000</v>
      </c>
      <c r="G99" s="641">
        <v>35000</v>
      </c>
      <c r="H99" s="641">
        <v>35000</v>
      </c>
      <c r="I99" s="641">
        <v>35000</v>
      </c>
      <c r="J99" s="641">
        <v>35000</v>
      </c>
      <c r="K99" s="642">
        <f t="shared" si="14"/>
        <v>210000</v>
      </c>
      <c r="L99" s="874"/>
    </row>
    <row r="100" ht="25" customHeight="1" spans="1:12">
      <c r="A100" s="95">
        <v>3</v>
      </c>
      <c r="B100" s="643" t="s">
        <v>233</v>
      </c>
      <c r="C100" s="86" t="s">
        <v>555</v>
      </c>
      <c r="D100" s="640" t="s">
        <v>69</v>
      </c>
      <c r="E100" s="641">
        <v>35000</v>
      </c>
      <c r="F100" s="641">
        <v>35000</v>
      </c>
      <c r="G100" s="641">
        <v>35000</v>
      </c>
      <c r="H100" s="641">
        <v>35000</v>
      </c>
      <c r="I100" s="641">
        <v>35000</v>
      </c>
      <c r="J100" s="641">
        <v>35000</v>
      </c>
      <c r="K100" s="642">
        <f t="shared" si="14"/>
        <v>210000</v>
      </c>
      <c r="L100" s="874"/>
    </row>
    <row r="101" ht="25" customHeight="1" spans="1:12">
      <c r="A101" s="95">
        <v>4</v>
      </c>
      <c r="B101" s="643" t="s">
        <v>234</v>
      </c>
      <c r="C101" s="86" t="s">
        <v>197</v>
      </c>
      <c r="D101" s="640" t="s">
        <v>74</v>
      </c>
      <c r="E101" s="641">
        <v>35000</v>
      </c>
      <c r="F101" s="641">
        <v>35000</v>
      </c>
      <c r="G101" s="641">
        <v>35000</v>
      </c>
      <c r="H101" s="641">
        <v>35000</v>
      </c>
      <c r="I101" s="641">
        <v>35000</v>
      </c>
      <c r="J101" s="641">
        <v>35000</v>
      </c>
      <c r="K101" s="642">
        <f t="shared" si="14"/>
        <v>210000</v>
      </c>
      <c r="L101" s="874"/>
    </row>
    <row r="102" ht="25" customHeight="1" spans="1:12">
      <c r="A102" s="86"/>
      <c r="B102" s="864" t="s">
        <v>120</v>
      </c>
      <c r="C102" s="88">
        <v>4</v>
      </c>
      <c r="D102" s="99"/>
      <c r="E102" s="872">
        <f>SUM(E98:E101)</f>
        <v>140000</v>
      </c>
      <c r="F102" s="872">
        <f t="shared" ref="F102:K102" si="15">SUM(F98:F101)</f>
        <v>140000</v>
      </c>
      <c r="G102" s="872">
        <f t="shared" si="15"/>
        <v>140000</v>
      </c>
      <c r="H102" s="872">
        <f t="shared" si="15"/>
        <v>140000</v>
      </c>
      <c r="I102" s="872">
        <f t="shared" si="15"/>
        <v>140000</v>
      </c>
      <c r="J102" s="872">
        <f t="shared" si="15"/>
        <v>140000</v>
      </c>
      <c r="K102" s="872">
        <f t="shared" si="15"/>
        <v>840000</v>
      </c>
      <c r="L102" s="874"/>
    </row>
    <row r="103" ht="25" customHeight="1" spans="1:12">
      <c r="A103" s="86"/>
      <c r="B103" s="867"/>
      <c r="C103" s="88"/>
      <c r="D103" s="99"/>
      <c r="E103" s="99"/>
      <c r="F103" s="647"/>
      <c r="G103" s="647"/>
      <c r="H103" s="647"/>
      <c r="I103" s="647"/>
      <c r="J103" s="647"/>
      <c r="K103" s="642"/>
      <c r="L103" s="874"/>
    </row>
    <row r="104" ht="25" customHeight="1" spans="1:12">
      <c r="A104" s="86"/>
      <c r="B104" s="864" t="s">
        <v>237</v>
      </c>
      <c r="C104" s="86"/>
      <c r="D104" s="86"/>
      <c r="E104" s="86"/>
      <c r="F104" s="86"/>
      <c r="G104" s="86"/>
      <c r="H104" s="86"/>
      <c r="I104" s="86"/>
      <c r="J104" s="86"/>
      <c r="K104" s="642"/>
      <c r="L104" s="874"/>
    </row>
    <row r="105" ht="25" customHeight="1" spans="1:12">
      <c r="A105" s="86">
        <v>1</v>
      </c>
      <c r="B105" s="643" t="s">
        <v>556</v>
      </c>
      <c r="C105" s="83" t="s">
        <v>239</v>
      </c>
      <c r="D105" s="640" t="s">
        <v>124</v>
      </c>
      <c r="E105" s="641">
        <v>35000</v>
      </c>
      <c r="F105" s="641">
        <v>35000</v>
      </c>
      <c r="G105" s="641">
        <v>35000</v>
      </c>
      <c r="H105" s="641">
        <v>35000</v>
      </c>
      <c r="I105" s="641">
        <v>35000</v>
      </c>
      <c r="J105" s="641">
        <v>35000</v>
      </c>
      <c r="K105" s="642">
        <f t="shared" ref="K105:K111" si="16">SUM(E105:J105)</f>
        <v>210000</v>
      </c>
      <c r="L105" s="874"/>
    </row>
    <row r="106" ht="25" customHeight="1" spans="1:12">
      <c r="A106" s="86">
        <v>2</v>
      </c>
      <c r="B106" s="643" t="s">
        <v>240</v>
      </c>
      <c r="C106" s="86" t="s">
        <v>241</v>
      </c>
      <c r="D106" s="871" t="s">
        <v>35</v>
      </c>
      <c r="E106" s="641">
        <v>35000</v>
      </c>
      <c r="F106" s="641">
        <v>35000</v>
      </c>
      <c r="G106" s="641">
        <v>35000</v>
      </c>
      <c r="H106" s="641">
        <v>35000</v>
      </c>
      <c r="I106" s="641">
        <v>35000</v>
      </c>
      <c r="J106" s="641">
        <v>35000</v>
      </c>
      <c r="K106" s="642">
        <f t="shared" si="16"/>
        <v>210000</v>
      </c>
      <c r="L106" s="874"/>
    </row>
    <row r="107" ht="25" customHeight="1" spans="1:12">
      <c r="A107" s="86">
        <v>3</v>
      </c>
      <c r="B107" s="643" t="s">
        <v>242</v>
      </c>
      <c r="C107" s="86" t="s">
        <v>557</v>
      </c>
      <c r="D107" s="95" t="s">
        <v>55</v>
      </c>
      <c r="E107" s="641">
        <v>35000</v>
      </c>
      <c r="F107" s="641">
        <v>35000</v>
      </c>
      <c r="G107" s="641">
        <v>35000</v>
      </c>
      <c r="H107" s="641">
        <v>35000</v>
      </c>
      <c r="I107" s="641">
        <v>35000</v>
      </c>
      <c r="J107" s="641">
        <v>35000</v>
      </c>
      <c r="K107" s="642">
        <f t="shared" si="16"/>
        <v>210000</v>
      </c>
      <c r="L107" s="874"/>
    </row>
    <row r="108" ht="25" customHeight="1" spans="1:12">
      <c r="A108" s="86">
        <v>4</v>
      </c>
      <c r="B108" s="643" t="s">
        <v>244</v>
      </c>
      <c r="C108" s="86" t="s">
        <v>557</v>
      </c>
      <c r="D108" s="95" t="s">
        <v>55</v>
      </c>
      <c r="E108" s="641">
        <v>35000</v>
      </c>
      <c r="F108" s="641">
        <v>35000</v>
      </c>
      <c r="G108" s="641">
        <v>35000</v>
      </c>
      <c r="H108" s="641">
        <v>35000</v>
      </c>
      <c r="I108" s="641">
        <v>35000</v>
      </c>
      <c r="J108" s="641">
        <v>35000</v>
      </c>
      <c r="K108" s="642">
        <f t="shared" si="16"/>
        <v>210000</v>
      </c>
      <c r="L108" s="874"/>
    </row>
    <row r="109" ht="25" customHeight="1" spans="1:12">
      <c r="A109" s="86">
        <v>5</v>
      </c>
      <c r="B109" s="643" t="s">
        <v>247</v>
      </c>
      <c r="C109" s="86" t="s">
        <v>248</v>
      </c>
      <c r="D109" s="640" t="s">
        <v>853</v>
      </c>
      <c r="E109" s="641">
        <v>35000</v>
      </c>
      <c r="F109" s="641">
        <v>35000</v>
      </c>
      <c r="G109" s="641">
        <v>35000</v>
      </c>
      <c r="H109" s="641">
        <v>35000</v>
      </c>
      <c r="I109" s="641">
        <v>35000</v>
      </c>
      <c r="J109" s="641">
        <v>35000</v>
      </c>
      <c r="K109" s="642">
        <f t="shared" si="16"/>
        <v>210000</v>
      </c>
      <c r="L109" s="874"/>
    </row>
    <row r="110" ht="25" customHeight="1" spans="1:12">
      <c r="A110" s="86">
        <v>6</v>
      </c>
      <c r="B110" s="351" t="s">
        <v>250</v>
      </c>
      <c r="C110" s="86" t="s">
        <v>248</v>
      </c>
      <c r="D110" s="95" t="s">
        <v>223</v>
      </c>
      <c r="E110" s="641">
        <v>35000</v>
      </c>
      <c r="F110" s="641">
        <v>35000</v>
      </c>
      <c r="G110" s="641">
        <v>35000</v>
      </c>
      <c r="H110" s="641">
        <v>35000</v>
      </c>
      <c r="I110" s="641">
        <v>35000</v>
      </c>
      <c r="J110" s="641">
        <v>35000</v>
      </c>
      <c r="K110" s="642">
        <f t="shared" si="16"/>
        <v>210000</v>
      </c>
      <c r="L110" s="874"/>
    </row>
    <row r="111" ht="25" customHeight="1" spans="1:12">
      <c r="A111" s="86">
        <v>7</v>
      </c>
      <c r="B111" s="351" t="s">
        <v>251</v>
      </c>
      <c r="C111" s="86" t="s">
        <v>248</v>
      </c>
      <c r="D111" s="640" t="s">
        <v>108</v>
      </c>
      <c r="E111" s="641">
        <v>35000</v>
      </c>
      <c r="F111" s="641">
        <v>35000</v>
      </c>
      <c r="G111" s="641">
        <v>35000</v>
      </c>
      <c r="H111" s="641">
        <v>35000</v>
      </c>
      <c r="I111" s="641">
        <v>35000</v>
      </c>
      <c r="J111" s="641">
        <v>35000</v>
      </c>
      <c r="K111" s="642">
        <f t="shared" si="16"/>
        <v>210000</v>
      </c>
      <c r="L111" s="874"/>
    </row>
    <row r="112" ht="25" customHeight="1" spans="1:12">
      <c r="A112" s="86"/>
      <c r="B112" s="864" t="s">
        <v>120</v>
      </c>
      <c r="C112" s="88">
        <v>7</v>
      </c>
      <c r="D112" s="86"/>
      <c r="E112" s="880">
        <f t="shared" ref="E112:K112" si="17">SUM(E105:E111)</f>
        <v>245000</v>
      </c>
      <c r="F112" s="880">
        <f t="shared" si="17"/>
        <v>245000</v>
      </c>
      <c r="G112" s="880">
        <f t="shared" si="17"/>
        <v>245000</v>
      </c>
      <c r="H112" s="880">
        <f t="shared" si="17"/>
        <v>245000</v>
      </c>
      <c r="I112" s="880">
        <f t="shared" si="17"/>
        <v>245000</v>
      </c>
      <c r="J112" s="880">
        <f t="shared" si="17"/>
        <v>245000</v>
      </c>
      <c r="K112" s="884">
        <f t="shared" si="17"/>
        <v>1470000</v>
      </c>
      <c r="L112" s="874"/>
    </row>
    <row r="113" ht="25" customHeight="1" spans="1:12">
      <c r="A113" s="86"/>
      <c r="B113" s="864"/>
      <c r="C113" s="88"/>
      <c r="D113" s="86"/>
      <c r="E113" s="86"/>
      <c r="F113" s="881"/>
      <c r="G113" s="881"/>
      <c r="H113" s="881"/>
      <c r="I113" s="881"/>
      <c r="J113" s="881"/>
      <c r="K113" s="885"/>
      <c r="L113" s="874"/>
    </row>
    <row r="114" ht="25" customHeight="1" spans="1:12">
      <c r="A114" s="95"/>
      <c r="B114" s="864" t="s">
        <v>255</v>
      </c>
      <c r="C114" s="88"/>
      <c r="D114" s="88"/>
      <c r="E114" s="88"/>
      <c r="F114" s="647"/>
      <c r="G114" s="647"/>
      <c r="H114" s="647"/>
      <c r="I114" s="647"/>
      <c r="J114" s="647"/>
      <c r="K114" s="642"/>
      <c r="L114" s="874"/>
    </row>
    <row r="115" ht="25" customHeight="1" spans="1:12">
      <c r="A115" s="95">
        <v>1</v>
      </c>
      <c r="B115" s="639" t="s">
        <v>163</v>
      </c>
      <c r="C115" s="86" t="s">
        <v>142</v>
      </c>
      <c r="D115" s="95" t="s">
        <v>49</v>
      </c>
      <c r="E115" s="641">
        <v>35000</v>
      </c>
      <c r="F115" s="641">
        <v>35000</v>
      </c>
      <c r="G115" s="641">
        <v>35000</v>
      </c>
      <c r="H115" s="641">
        <v>35000</v>
      </c>
      <c r="I115" s="641">
        <v>35000</v>
      </c>
      <c r="J115" s="641">
        <v>35000</v>
      </c>
      <c r="K115" s="642">
        <f t="shared" ref="K115:K117" si="18">SUM(E115:J115)</f>
        <v>210000</v>
      </c>
      <c r="L115" s="874"/>
    </row>
    <row r="116" ht="25" customHeight="1" spans="1:12">
      <c r="A116" s="95">
        <v>2</v>
      </c>
      <c r="B116" s="643" t="s">
        <v>257</v>
      </c>
      <c r="C116" s="86" t="s">
        <v>258</v>
      </c>
      <c r="D116" s="640" t="s">
        <v>69</v>
      </c>
      <c r="E116" s="641">
        <v>35000</v>
      </c>
      <c r="F116" s="641">
        <v>35000</v>
      </c>
      <c r="G116" s="641">
        <v>35000</v>
      </c>
      <c r="H116" s="641">
        <v>35000</v>
      </c>
      <c r="I116" s="641">
        <v>35000</v>
      </c>
      <c r="J116" s="641">
        <v>35000</v>
      </c>
      <c r="K116" s="642">
        <f t="shared" si="18"/>
        <v>210000</v>
      </c>
      <c r="L116" s="874"/>
    </row>
    <row r="117" ht="25" customHeight="1" spans="1:12">
      <c r="A117" s="95">
        <v>3</v>
      </c>
      <c r="B117" s="643" t="s">
        <v>190</v>
      </c>
      <c r="C117" s="83" t="s">
        <v>854</v>
      </c>
      <c r="D117" s="640" t="s">
        <v>170</v>
      </c>
      <c r="E117" s="641">
        <v>35000</v>
      </c>
      <c r="F117" s="641">
        <v>35000</v>
      </c>
      <c r="G117" s="641">
        <v>35000</v>
      </c>
      <c r="H117" s="641">
        <v>35000</v>
      </c>
      <c r="I117" s="641">
        <v>35000</v>
      </c>
      <c r="J117" s="641">
        <v>35000</v>
      </c>
      <c r="K117" s="642">
        <f t="shared" si="18"/>
        <v>210000</v>
      </c>
      <c r="L117" s="874"/>
    </row>
    <row r="118" ht="25" customHeight="1" spans="1:12">
      <c r="A118" s="86"/>
      <c r="B118" s="864" t="s">
        <v>120</v>
      </c>
      <c r="C118" s="88">
        <v>2</v>
      </c>
      <c r="D118" s="99"/>
      <c r="E118" s="878">
        <f>SUM(E115:E117)</f>
        <v>105000</v>
      </c>
      <c r="F118" s="878">
        <f t="shared" ref="F118:K118" si="19">SUM(F115:F117)</f>
        <v>105000</v>
      </c>
      <c r="G118" s="878">
        <f t="shared" si="19"/>
        <v>105000</v>
      </c>
      <c r="H118" s="878">
        <f t="shared" si="19"/>
        <v>105000</v>
      </c>
      <c r="I118" s="878">
        <f t="shared" si="19"/>
        <v>105000</v>
      </c>
      <c r="J118" s="878">
        <f t="shared" si="19"/>
        <v>105000</v>
      </c>
      <c r="K118" s="878">
        <f t="shared" si="19"/>
        <v>630000</v>
      </c>
      <c r="L118" s="874"/>
    </row>
    <row r="119" ht="25" customHeight="1" spans="1:12">
      <c r="A119" s="86"/>
      <c r="B119" s="867"/>
      <c r="C119" s="95"/>
      <c r="D119" s="86"/>
      <c r="E119" s="86"/>
      <c r="F119" s="670"/>
      <c r="G119" s="670"/>
      <c r="H119" s="670"/>
      <c r="I119" s="670"/>
      <c r="J119" s="670"/>
      <c r="K119" s="642"/>
      <c r="L119" s="874"/>
    </row>
    <row r="120" ht="25" customHeight="1" spans="1:12">
      <c r="A120" s="86"/>
      <c r="B120" s="864" t="s">
        <v>279</v>
      </c>
      <c r="C120" s="88"/>
      <c r="D120" s="88"/>
      <c r="E120" s="88"/>
      <c r="F120" s="647"/>
      <c r="G120" s="647"/>
      <c r="H120" s="647"/>
      <c r="I120" s="647"/>
      <c r="J120" s="647"/>
      <c r="K120" s="642"/>
      <c r="L120" s="874"/>
    </row>
    <row r="121" ht="25" customHeight="1" spans="1:12">
      <c r="A121" s="86">
        <v>1</v>
      </c>
      <c r="B121" s="643" t="s">
        <v>280</v>
      </c>
      <c r="C121" s="83" t="s">
        <v>281</v>
      </c>
      <c r="D121" s="640" t="s">
        <v>124</v>
      </c>
      <c r="E121" s="641">
        <v>35000</v>
      </c>
      <c r="F121" s="641">
        <v>35000</v>
      </c>
      <c r="G121" s="641">
        <v>35000</v>
      </c>
      <c r="H121" s="641">
        <v>35000</v>
      </c>
      <c r="I121" s="641">
        <v>35000</v>
      </c>
      <c r="J121" s="641">
        <v>35000</v>
      </c>
      <c r="K121" s="642">
        <f t="shared" ref="K121:K130" si="20">SUM(E121:J121)</f>
        <v>210000</v>
      </c>
      <c r="L121" s="874"/>
    </row>
    <row r="122" ht="25" customHeight="1" spans="1:12">
      <c r="A122" s="86">
        <v>2</v>
      </c>
      <c r="B122" s="643" t="s">
        <v>282</v>
      </c>
      <c r="C122" s="83" t="s">
        <v>558</v>
      </c>
      <c r="D122" s="640" t="s">
        <v>207</v>
      </c>
      <c r="E122" s="641">
        <v>35000</v>
      </c>
      <c r="F122" s="641">
        <v>35000</v>
      </c>
      <c r="G122" s="641">
        <v>35000</v>
      </c>
      <c r="H122" s="641">
        <v>35000</v>
      </c>
      <c r="I122" s="641">
        <v>35000</v>
      </c>
      <c r="J122" s="641">
        <v>35000</v>
      </c>
      <c r="K122" s="642">
        <f t="shared" si="20"/>
        <v>210000</v>
      </c>
      <c r="L122" s="874"/>
    </row>
    <row r="123" ht="25" customHeight="1" spans="1:12">
      <c r="A123" s="86">
        <v>3</v>
      </c>
      <c r="B123" s="639" t="s">
        <v>284</v>
      </c>
      <c r="C123" s="83" t="s">
        <v>559</v>
      </c>
      <c r="D123" s="640" t="s">
        <v>38</v>
      </c>
      <c r="E123" s="641">
        <v>35000</v>
      </c>
      <c r="F123" s="641">
        <v>35000</v>
      </c>
      <c r="G123" s="641">
        <v>35000</v>
      </c>
      <c r="H123" s="641">
        <v>35000</v>
      </c>
      <c r="I123" s="641">
        <v>35000</v>
      </c>
      <c r="J123" s="641">
        <v>35000</v>
      </c>
      <c r="K123" s="642">
        <f t="shared" si="20"/>
        <v>210000</v>
      </c>
      <c r="L123" s="874"/>
    </row>
    <row r="124" ht="25" customHeight="1" spans="1:12">
      <c r="A124" s="86">
        <v>4</v>
      </c>
      <c r="B124" s="639" t="s">
        <v>855</v>
      </c>
      <c r="C124" s="83" t="s">
        <v>559</v>
      </c>
      <c r="D124" s="640" t="s">
        <v>41</v>
      </c>
      <c r="E124" s="641">
        <v>35000</v>
      </c>
      <c r="F124" s="641">
        <v>35000</v>
      </c>
      <c r="G124" s="641">
        <v>35000</v>
      </c>
      <c r="H124" s="641">
        <v>35000</v>
      </c>
      <c r="I124" s="641">
        <v>35000</v>
      </c>
      <c r="J124" s="641">
        <v>35000</v>
      </c>
      <c r="K124" s="642">
        <f t="shared" si="20"/>
        <v>210000</v>
      </c>
      <c r="L124" s="874"/>
    </row>
    <row r="125" ht="25" customHeight="1" spans="1:12">
      <c r="A125" s="86">
        <v>5</v>
      </c>
      <c r="B125" s="643" t="s">
        <v>287</v>
      </c>
      <c r="C125" s="83" t="s">
        <v>289</v>
      </c>
      <c r="D125" s="640" t="s">
        <v>46</v>
      </c>
      <c r="E125" s="641">
        <v>35000</v>
      </c>
      <c r="F125" s="641">
        <v>35000</v>
      </c>
      <c r="G125" s="641">
        <v>35000</v>
      </c>
      <c r="H125" s="641">
        <v>35000</v>
      </c>
      <c r="I125" s="641">
        <v>35000</v>
      </c>
      <c r="J125" s="641">
        <v>35000</v>
      </c>
      <c r="K125" s="642">
        <f t="shared" si="20"/>
        <v>210000</v>
      </c>
      <c r="L125" s="874"/>
    </row>
    <row r="126" ht="25" customHeight="1" spans="1:12">
      <c r="A126" s="86">
        <v>6</v>
      </c>
      <c r="B126" s="643" t="s">
        <v>288</v>
      </c>
      <c r="C126" s="83" t="s">
        <v>560</v>
      </c>
      <c r="D126" s="640" t="s">
        <v>52</v>
      </c>
      <c r="E126" s="641">
        <v>35000</v>
      </c>
      <c r="F126" s="641">
        <v>35000</v>
      </c>
      <c r="G126" s="641">
        <v>35000</v>
      </c>
      <c r="H126" s="641">
        <v>35000</v>
      </c>
      <c r="I126" s="641">
        <v>35000</v>
      </c>
      <c r="J126" s="641">
        <v>35000</v>
      </c>
      <c r="K126" s="642">
        <f t="shared" si="20"/>
        <v>210000</v>
      </c>
      <c r="L126" s="874"/>
    </row>
    <row r="127" ht="25" customHeight="1" spans="1:12">
      <c r="A127" s="86">
        <v>7</v>
      </c>
      <c r="B127" s="643" t="s">
        <v>290</v>
      </c>
      <c r="C127" s="83" t="s">
        <v>289</v>
      </c>
      <c r="D127" s="640" t="s">
        <v>212</v>
      </c>
      <c r="E127" s="641">
        <v>35000</v>
      </c>
      <c r="F127" s="641">
        <v>35000</v>
      </c>
      <c r="G127" s="641">
        <v>35000</v>
      </c>
      <c r="H127" s="641">
        <v>35000</v>
      </c>
      <c r="I127" s="641">
        <v>35000</v>
      </c>
      <c r="J127" s="641">
        <v>35000</v>
      </c>
      <c r="K127" s="642">
        <f t="shared" si="20"/>
        <v>210000</v>
      </c>
      <c r="L127" s="874"/>
    </row>
    <row r="128" ht="25" customHeight="1" spans="1:12">
      <c r="A128" s="86">
        <v>8</v>
      </c>
      <c r="B128" s="643" t="s">
        <v>293</v>
      </c>
      <c r="C128" s="83" t="s">
        <v>561</v>
      </c>
      <c r="D128" s="95" t="s">
        <v>88</v>
      </c>
      <c r="E128" s="641">
        <v>35000</v>
      </c>
      <c r="F128" s="641">
        <v>35000</v>
      </c>
      <c r="G128" s="641">
        <v>35000</v>
      </c>
      <c r="H128" s="641">
        <v>35000</v>
      </c>
      <c r="I128" s="641">
        <v>35000</v>
      </c>
      <c r="J128" s="641">
        <v>35000</v>
      </c>
      <c r="K128" s="642">
        <f t="shared" si="20"/>
        <v>210000</v>
      </c>
      <c r="L128" s="874"/>
    </row>
    <row r="129" ht="25" customHeight="1" spans="1:12">
      <c r="A129" s="86">
        <v>9</v>
      </c>
      <c r="B129" s="351" t="s">
        <v>295</v>
      </c>
      <c r="C129" s="83" t="s">
        <v>296</v>
      </c>
      <c r="D129" s="640" t="s">
        <v>111</v>
      </c>
      <c r="E129" s="641">
        <v>35000</v>
      </c>
      <c r="F129" s="641">
        <v>35000</v>
      </c>
      <c r="G129" s="641">
        <v>35000</v>
      </c>
      <c r="H129" s="641">
        <v>35000</v>
      </c>
      <c r="I129" s="641">
        <v>35000</v>
      </c>
      <c r="J129" s="641">
        <v>35000</v>
      </c>
      <c r="K129" s="642">
        <f t="shared" si="20"/>
        <v>210000</v>
      </c>
      <c r="L129" s="874"/>
    </row>
    <row r="130" ht="25" customHeight="1" spans="1:12">
      <c r="A130" s="86">
        <v>10</v>
      </c>
      <c r="B130" s="351" t="s">
        <v>297</v>
      </c>
      <c r="C130" s="83" t="s">
        <v>292</v>
      </c>
      <c r="D130" s="640" t="s">
        <v>111</v>
      </c>
      <c r="E130" s="641">
        <v>35000</v>
      </c>
      <c r="F130" s="641">
        <v>35000</v>
      </c>
      <c r="G130" s="641">
        <v>35000</v>
      </c>
      <c r="H130" s="641">
        <v>35000</v>
      </c>
      <c r="I130" s="641">
        <v>35000</v>
      </c>
      <c r="J130" s="641">
        <v>35000</v>
      </c>
      <c r="K130" s="642">
        <f t="shared" si="20"/>
        <v>210000</v>
      </c>
      <c r="L130" s="874"/>
    </row>
    <row r="131" ht="25" customHeight="1" spans="1:12">
      <c r="A131" s="86"/>
      <c r="B131" s="864" t="s">
        <v>120</v>
      </c>
      <c r="C131" s="99" t="s">
        <v>562</v>
      </c>
      <c r="D131" s="640"/>
      <c r="E131" s="878">
        <f t="shared" ref="E131:K131" si="21">SUM(E121:E130)</f>
        <v>350000</v>
      </c>
      <c r="F131" s="878">
        <f t="shared" si="21"/>
        <v>350000</v>
      </c>
      <c r="G131" s="878">
        <f t="shared" si="21"/>
        <v>350000</v>
      </c>
      <c r="H131" s="878">
        <f t="shared" si="21"/>
        <v>350000</v>
      </c>
      <c r="I131" s="878">
        <f t="shared" si="21"/>
        <v>350000</v>
      </c>
      <c r="J131" s="878">
        <f t="shared" si="21"/>
        <v>350000</v>
      </c>
      <c r="K131" s="883">
        <f t="shared" si="21"/>
        <v>2100000</v>
      </c>
      <c r="L131" s="874"/>
    </row>
    <row r="132" ht="25" customHeight="1" spans="1:12">
      <c r="A132" s="86"/>
      <c r="B132" s="867"/>
      <c r="C132" s="99"/>
      <c r="D132" s="640"/>
      <c r="E132" s="640"/>
      <c r="F132" s="647"/>
      <c r="G132" s="647"/>
      <c r="H132" s="647"/>
      <c r="I132" s="647"/>
      <c r="J132" s="647"/>
      <c r="K132" s="642"/>
      <c r="L132" s="874"/>
    </row>
    <row r="133" ht="25" customHeight="1" spans="1:12">
      <c r="A133" s="86"/>
      <c r="B133" s="864" t="s">
        <v>300</v>
      </c>
      <c r="C133" s="83"/>
      <c r="D133" s="640"/>
      <c r="E133" s="640"/>
      <c r="F133" s="641"/>
      <c r="G133" s="641"/>
      <c r="H133" s="641"/>
      <c r="I133" s="641"/>
      <c r="J133" s="641"/>
      <c r="K133" s="642"/>
      <c r="L133" s="874"/>
    </row>
    <row r="134" ht="25" customHeight="1" spans="1:12">
      <c r="A134" s="886">
        <v>1</v>
      </c>
      <c r="B134" s="870" t="s">
        <v>856</v>
      </c>
      <c r="C134" s="83" t="s">
        <v>857</v>
      </c>
      <c r="D134" s="640" t="s">
        <v>124</v>
      </c>
      <c r="E134" s="641">
        <v>35000</v>
      </c>
      <c r="F134" s="641">
        <v>35000</v>
      </c>
      <c r="G134" s="641">
        <v>35000</v>
      </c>
      <c r="H134" s="641">
        <v>35000</v>
      </c>
      <c r="I134" s="641">
        <v>35000</v>
      </c>
      <c r="J134" s="641">
        <v>35000</v>
      </c>
      <c r="K134" s="642">
        <f t="shared" ref="K134:K192" si="22">SUM(E134:J134)</f>
        <v>210000</v>
      </c>
      <c r="L134" s="874"/>
    </row>
    <row r="135" ht="25" customHeight="1" spans="1:12">
      <c r="A135" s="886">
        <v>2</v>
      </c>
      <c r="B135" s="643" t="s">
        <v>858</v>
      </c>
      <c r="C135" s="83" t="s">
        <v>859</v>
      </c>
      <c r="D135" s="640" t="s">
        <v>35</v>
      </c>
      <c r="E135" s="641">
        <v>35000</v>
      </c>
      <c r="F135" s="641">
        <v>35000</v>
      </c>
      <c r="G135" s="641">
        <v>35000</v>
      </c>
      <c r="H135" s="641">
        <v>35000</v>
      </c>
      <c r="I135" s="641">
        <v>35000</v>
      </c>
      <c r="J135" s="641">
        <v>35000</v>
      </c>
      <c r="K135" s="642">
        <f t="shared" si="22"/>
        <v>210000</v>
      </c>
      <c r="L135" s="874"/>
    </row>
    <row r="136" ht="25" customHeight="1" spans="1:12">
      <c r="A136" s="886">
        <v>3</v>
      </c>
      <c r="B136" s="639" t="s">
        <v>304</v>
      </c>
      <c r="C136" s="86" t="s">
        <v>305</v>
      </c>
      <c r="D136" s="871" t="s">
        <v>35</v>
      </c>
      <c r="E136" s="641">
        <v>35000</v>
      </c>
      <c r="F136" s="641">
        <v>35000</v>
      </c>
      <c r="G136" s="641">
        <v>35000</v>
      </c>
      <c r="H136" s="641">
        <v>35000</v>
      </c>
      <c r="I136" s="641">
        <v>35000</v>
      </c>
      <c r="J136" s="641">
        <v>35000</v>
      </c>
      <c r="K136" s="642">
        <f t="shared" si="22"/>
        <v>210000</v>
      </c>
      <c r="L136" s="874"/>
    </row>
    <row r="137" ht="25" customHeight="1" spans="1:12">
      <c r="A137" s="886">
        <v>4</v>
      </c>
      <c r="B137" s="643" t="s">
        <v>306</v>
      </c>
      <c r="C137" s="83" t="s">
        <v>860</v>
      </c>
      <c r="D137" s="640" t="s">
        <v>189</v>
      </c>
      <c r="E137" s="641">
        <v>35000</v>
      </c>
      <c r="F137" s="641">
        <v>35000</v>
      </c>
      <c r="G137" s="641">
        <v>35000</v>
      </c>
      <c r="H137" s="641">
        <v>35000</v>
      </c>
      <c r="I137" s="641">
        <v>35000</v>
      </c>
      <c r="J137" s="641">
        <v>35000</v>
      </c>
      <c r="K137" s="642">
        <f t="shared" si="22"/>
        <v>210000</v>
      </c>
      <c r="L137" s="874"/>
    </row>
    <row r="138" ht="25" customHeight="1" spans="1:12">
      <c r="A138" s="886">
        <v>5</v>
      </c>
      <c r="B138" s="643" t="s">
        <v>308</v>
      </c>
      <c r="C138" s="86" t="s">
        <v>312</v>
      </c>
      <c r="D138" s="640" t="s">
        <v>189</v>
      </c>
      <c r="E138" s="641">
        <v>35000</v>
      </c>
      <c r="F138" s="641">
        <v>35000</v>
      </c>
      <c r="G138" s="641">
        <v>35000</v>
      </c>
      <c r="H138" s="641">
        <v>35000</v>
      </c>
      <c r="I138" s="641">
        <v>35000</v>
      </c>
      <c r="J138" s="641">
        <v>35000</v>
      </c>
      <c r="K138" s="642">
        <f t="shared" si="22"/>
        <v>210000</v>
      </c>
      <c r="L138" s="874"/>
    </row>
    <row r="139" ht="25" customHeight="1" spans="1:12">
      <c r="A139" s="886">
        <v>6</v>
      </c>
      <c r="B139" s="643" t="s">
        <v>310</v>
      </c>
      <c r="C139" s="86" t="s">
        <v>312</v>
      </c>
      <c r="D139" s="640" t="s">
        <v>189</v>
      </c>
      <c r="E139" s="641">
        <v>35000</v>
      </c>
      <c r="F139" s="641">
        <v>35000</v>
      </c>
      <c r="G139" s="641">
        <v>35000</v>
      </c>
      <c r="H139" s="641">
        <v>35000</v>
      </c>
      <c r="I139" s="641">
        <v>35000</v>
      </c>
      <c r="J139" s="641">
        <v>35000</v>
      </c>
      <c r="K139" s="642">
        <f t="shared" si="22"/>
        <v>210000</v>
      </c>
      <c r="L139" s="874"/>
    </row>
    <row r="140" ht="25" customHeight="1" spans="1:12">
      <c r="A140" s="886">
        <v>7</v>
      </c>
      <c r="B140" s="643" t="s">
        <v>229</v>
      </c>
      <c r="C140" s="83" t="s">
        <v>861</v>
      </c>
      <c r="D140" s="640" t="s">
        <v>170</v>
      </c>
      <c r="E140" s="641">
        <v>35000</v>
      </c>
      <c r="F140" s="641">
        <v>35000</v>
      </c>
      <c r="G140" s="641">
        <v>35000</v>
      </c>
      <c r="H140" s="641">
        <v>35000</v>
      </c>
      <c r="I140" s="641">
        <v>35000</v>
      </c>
      <c r="J140" s="641">
        <v>35000</v>
      </c>
      <c r="K140" s="642">
        <f t="shared" si="22"/>
        <v>210000</v>
      </c>
      <c r="L140" s="874"/>
    </row>
    <row r="141" ht="25" customHeight="1" spans="1:12">
      <c r="A141" s="886">
        <v>8</v>
      </c>
      <c r="B141" s="643" t="s">
        <v>313</v>
      </c>
      <c r="C141" s="83" t="s">
        <v>861</v>
      </c>
      <c r="D141" s="640" t="s">
        <v>170</v>
      </c>
      <c r="E141" s="641">
        <v>35000</v>
      </c>
      <c r="F141" s="641">
        <v>35000</v>
      </c>
      <c r="G141" s="641">
        <v>35000</v>
      </c>
      <c r="H141" s="641">
        <v>35000</v>
      </c>
      <c r="I141" s="641">
        <v>35000</v>
      </c>
      <c r="J141" s="641">
        <v>35000</v>
      </c>
      <c r="K141" s="642">
        <f t="shared" si="22"/>
        <v>210000</v>
      </c>
      <c r="L141" s="874"/>
    </row>
    <row r="142" ht="25" customHeight="1" spans="1:12">
      <c r="A142" s="886">
        <v>9</v>
      </c>
      <c r="B142" s="643" t="s">
        <v>314</v>
      </c>
      <c r="C142" s="86" t="s">
        <v>862</v>
      </c>
      <c r="D142" s="640" t="s">
        <v>170</v>
      </c>
      <c r="E142" s="641">
        <v>35000</v>
      </c>
      <c r="F142" s="641">
        <v>35000</v>
      </c>
      <c r="G142" s="641">
        <v>35000</v>
      </c>
      <c r="H142" s="641">
        <v>35000</v>
      </c>
      <c r="I142" s="641">
        <v>35000</v>
      </c>
      <c r="J142" s="641">
        <v>35000</v>
      </c>
      <c r="K142" s="642">
        <f t="shared" si="22"/>
        <v>210000</v>
      </c>
      <c r="L142" s="874"/>
    </row>
    <row r="143" ht="25" customHeight="1" spans="1:12">
      <c r="A143" s="886">
        <v>10</v>
      </c>
      <c r="B143" s="643" t="s">
        <v>316</v>
      </c>
      <c r="C143" s="83" t="s">
        <v>564</v>
      </c>
      <c r="D143" s="640" t="s">
        <v>69</v>
      </c>
      <c r="E143" s="641">
        <v>35000</v>
      </c>
      <c r="F143" s="641">
        <v>35000</v>
      </c>
      <c r="G143" s="641">
        <v>35000</v>
      </c>
      <c r="H143" s="641">
        <v>35000</v>
      </c>
      <c r="I143" s="641">
        <v>35000</v>
      </c>
      <c r="J143" s="641">
        <v>35000</v>
      </c>
      <c r="K143" s="642">
        <f t="shared" si="22"/>
        <v>210000</v>
      </c>
      <c r="L143" s="874"/>
    </row>
    <row r="144" ht="25" customHeight="1" spans="1:12">
      <c r="A144" s="886">
        <v>11</v>
      </c>
      <c r="B144" s="643" t="s">
        <v>318</v>
      </c>
      <c r="C144" s="83" t="s">
        <v>319</v>
      </c>
      <c r="D144" s="640" t="s">
        <v>131</v>
      </c>
      <c r="E144" s="641">
        <v>35000</v>
      </c>
      <c r="F144" s="641">
        <v>35000</v>
      </c>
      <c r="G144" s="641">
        <v>35000</v>
      </c>
      <c r="H144" s="641">
        <v>35000</v>
      </c>
      <c r="I144" s="641">
        <v>35000</v>
      </c>
      <c r="J144" s="641">
        <v>35000</v>
      </c>
      <c r="K144" s="642">
        <f t="shared" si="22"/>
        <v>210000</v>
      </c>
      <c r="L144" s="874"/>
    </row>
    <row r="145" ht="25" customHeight="1" spans="1:12">
      <c r="A145" s="886">
        <v>12</v>
      </c>
      <c r="B145" s="643" t="s">
        <v>61</v>
      </c>
      <c r="C145" s="83" t="s">
        <v>863</v>
      </c>
      <c r="D145" s="640" t="s">
        <v>170</v>
      </c>
      <c r="E145" s="641">
        <v>35000</v>
      </c>
      <c r="F145" s="641">
        <v>35000</v>
      </c>
      <c r="G145" s="641">
        <v>35000</v>
      </c>
      <c r="H145" s="641">
        <v>35000</v>
      </c>
      <c r="I145" s="641">
        <v>35000</v>
      </c>
      <c r="J145" s="641">
        <v>35000</v>
      </c>
      <c r="K145" s="642">
        <f t="shared" si="22"/>
        <v>210000</v>
      </c>
      <c r="L145" s="874"/>
    </row>
    <row r="146" ht="25" customHeight="1" spans="1:12">
      <c r="A146" s="886">
        <v>13</v>
      </c>
      <c r="B146" s="351" t="s">
        <v>320</v>
      </c>
      <c r="C146" s="86" t="s">
        <v>321</v>
      </c>
      <c r="D146" s="640" t="s">
        <v>504</v>
      </c>
      <c r="E146" s="641">
        <v>35000</v>
      </c>
      <c r="F146" s="641">
        <v>35000</v>
      </c>
      <c r="G146" s="641">
        <v>35000</v>
      </c>
      <c r="H146" s="641">
        <v>35000</v>
      </c>
      <c r="I146" s="641">
        <v>35000</v>
      </c>
      <c r="J146" s="641">
        <v>35000</v>
      </c>
      <c r="K146" s="642">
        <f t="shared" si="22"/>
        <v>210000</v>
      </c>
      <c r="L146" s="874"/>
    </row>
    <row r="147" ht="25" customHeight="1" spans="1:12">
      <c r="A147" s="886">
        <v>14</v>
      </c>
      <c r="B147" s="643" t="s">
        <v>322</v>
      </c>
      <c r="C147" s="86" t="s">
        <v>864</v>
      </c>
      <c r="D147" s="640" t="s">
        <v>77</v>
      </c>
      <c r="E147" s="641">
        <v>35000</v>
      </c>
      <c r="F147" s="641">
        <v>35000</v>
      </c>
      <c r="G147" s="641">
        <v>35000</v>
      </c>
      <c r="H147" s="641">
        <v>35000</v>
      </c>
      <c r="I147" s="641">
        <v>35000</v>
      </c>
      <c r="J147" s="641">
        <v>35000</v>
      </c>
      <c r="K147" s="642">
        <f t="shared" si="22"/>
        <v>210000</v>
      </c>
      <c r="L147" s="874"/>
    </row>
    <row r="148" ht="25" customHeight="1" spans="1:12">
      <c r="A148" s="886">
        <v>15</v>
      </c>
      <c r="B148" s="643" t="s">
        <v>323</v>
      </c>
      <c r="C148" s="86" t="s">
        <v>864</v>
      </c>
      <c r="D148" s="640" t="s">
        <v>151</v>
      </c>
      <c r="E148" s="641">
        <v>35000</v>
      </c>
      <c r="F148" s="641">
        <v>35000</v>
      </c>
      <c r="G148" s="641">
        <v>35000</v>
      </c>
      <c r="H148" s="641">
        <v>35000</v>
      </c>
      <c r="I148" s="641">
        <v>35000</v>
      </c>
      <c r="J148" s="641">
        <v>35000</v>
      </c>
      <c r="K148" s="642">
        <f t="shared" si="22"/>
        <v>210000</v>
      </c>
      <c r="L148" s="874"/>
    </row>
    <row r="149" ht="25" customHeight="1" spans="1:12">
      <c r="A149" s="886">
        <v>16</v>
      </c>
      <c r="B149" s="643" t="s">
        <v>325</v>
      </c>
      <c r="C149" s="86" t="s">
        <v>864</v>
      </c>
      <c r="D149" s="640" t="s">
        <v>151</v>
      </c>
      <c r="E149" s="641">
        <v>35000</v>
      </c>
      <c r="F149" s="641">
        <v>35000</v>
      </c>
      <c r="G149" s="641">
        <v>35000</v>
      </c>
      <c r="H149" s="641">
        <v>35000</v>
      </c>
      <c r="I149" s="641">
        <v>35000</v>
      </c>
      <c r="J149" s="641">
        <v>35000</v>
      </c>
      <c r="K149" s="642">
        <f t="shared" si="22"/>
        <v>210000</v>
      </c>
      <c r="L149" s="874"/>
    </row>
    <row r="150" ht="25" customHeight="1" spans="1:12">
      <c r="A150" s="886">
        <v>17</v>
      </c>
      <c r="B150" s="643" t="s">
        <v>326</v>
      </c>
      <c r="C150" s="83" t="s">
        <v>327</v>
      </c>
      <c r="D150" s="640" t="s">
        <v>74</v>
      </c>
      <c r="E150" s="641">
        <v>35000</v>
      </c>
      <c r="F150" s="641">
        <v>35000</v>
      </c>
      <c r="G150" s="641">
        <v>35000</v>
      </c>
      <c r="H150" s="641">
        <v>35000</v>
      </c>
      <c r="I150" s="641">
        <v>35000</v>
      </c>
      <c r="J150" s="641">
        <v>35000</v>
      </c>
      <c r="K150" s="642">
        <f t="shared" si="22"/>
        <v>210000</v>
      </c>
      <c r="L150" s="874"/>
    </row>
    <row r="151" ht="25" customHeight="1" spans="1:12">
      <c r="A151" s="886">
        <v>18</v>
      </c>
      <c r="B151" s="643" t="s">
        <v>328</v>
      </c>
      <c r="C151" s="83" t="s">
        <v>329</v>
      </c>
      <c r="D151" s="95" t="s">
        <v>99</v>
      </c>
      <c r="E151" s="641">
        <v>35000</v>
      </c>
      <c r="F151" s="641">
        <v>35000</v>
      </c>
      <c r="G151" s="641">
        <v>35000</v>
      </c>
      <c r="H151" s="641">
        <v>35000</v>
      </c>
      <c r="I151" s="641">
        <v>35000</v>
      </c>
      <c r="J151" s="641">
        <v>35000</v>
      </c>
      <c r="K151" s="642">
        <f t="shared" si="22"/>
        <v>210000</v>
      </c>
      <c r="L151" s="874"/>
    </row>
    <row r="152" ht="25" customHeight="1" spans="1:12">
      <c r="A152" s="886">
        <v>19</v>
      </c>
      <c r="B152" s="643" t="s">
        <v>330</v>
      </c>
      <c r="C152" s="83" t="s">
        <v>565</v>
      </c>
      <c r="D152" s="640" t="s">
        <v>77</v>
      </c>
      <c r="E152" s="641">
        <v>35000</v>
      </c>
      <c r="F152" s="641">
        <v>35000</v>
      </c>
      <c r="G152" s="641">
        <v>35000</v>
      </c>
      <c r="H152" s="641">
        <v>35000</v>
      </c>
      <c r="I152" s="641">
        <v>35000</v>
      </c>
      <c r="J152" s="641">
        <v>35000</v>
      </c>
      <c r="K152" s="642">
        <f t="shared" si="22"/>
        <v>210000</v>
      </c>
      <c r="L152" s="874"/>
    </row>
    <row r="153" ht="25" customHeight="1" spans="1:12">
      <c r="A153" s="886">
        <v>20</v>
      </c>
      <c r="B153" s="643" t="s">
        <v>332</v>
      </c>
      <c r="C153" s="83" t="s">
        <v>566</v>
      </c>
      <c r="D153" s="640" t="s">
        <v>88</v>
      </c>
      <c r="E153" s="641">
        <v>35000</v>
      </c>
      <c r="F153" s="641">
        <v>35000</v>
      </c>
      <c r="G153" s="641">
        <v>35000</v>
      </c>
      <c r="H153" s="641">
        <v>35000</v>
      </c>
      <c r="I153" s="641">
        <v>35000</v>
      </c>
      <c r="J153" s="641">
        <v>35000</v>
      </c>
      <c r="K153" s="642">
        <f t="shared" si="22"/>
        <v>210000</v>
      </c>
      <c r="L153" s="874"/>
    </row>
    <row r="154" ht="25" customHeight="1" spans="1:12">
      <c r="A154" s="886">
        <v>21</v>
      </c>
      <c r="B154" s="643" t="s">
        <v>334</v>
      </c>
      <c r="C154" s="83" t="s">
        <v>567</v>
      </c>
      <c r="D154" s="640" t="s">
        <v>77</v>
      </c>
      <c r="E154" s="641">
        <v>35000</v>
      </c>
      <c r="F154" s="641">
        <v>35000</v>
      </c>
      <c r="G154" s="641">
        <v>35000</v>
      </c>
      <c r="H154" s="641">
        <v>35000</v>
      </c>
      <c r="I154" s="641">
        <v>35000</v>
      </c>
      <c r="J154" s="641">
        <v>35000</v>
      </c>
      <c r="K154" s="642">
        <f t="shared" si="22"/>
        <v>210000</v>
      </c>
      <c r="L154" s="874"/>
    </row>
    <row r="155" ht="25" customHeight="1" spans="1:12">
      <c r="A155" s="886">
        <v>22</v>
      </c>
      <c r="B155" s="643" t="s">
        <v>335</v>
      </c>
      <c r="C155" s="83" t="s">
        <v>568</v>
      </c>
      <c r="D155" s="640" t="s">
        <v>88</v>
      </c>
      <c r="E155" s="641">
        <v>35000</v>
      </c>
      <c r="F155" s="641">
        <v>35000</v>
      </c>
      <c r="G155" s="641">
        <v>35000</v>
      </c>
      <c r="H155" s="641">
        <v>35000</v>
      </c>
      <c r="I155" s="641">
        <v>35000</v>
      </c>
      <c r="J155" s="641">
        <v>35000</v>
      </c>
      <c r="K155" s="642">
        <f t="shared" si="22"/>
        <v>210000</v>
      </c>
      <c r="L155" s="874"/>
    </row>
    <row r="156" ht="25" customHeight="1" spans="1:12">
      <c r="A156" s="886">
        <v>23</v>
      </c>
      <c r="B156" s="351" t="s">
        <v>337</v>
      </c>
      <c r="C156" s="83" t="s">
        <v>338</v>
      </c>
      <c r="D156" s="640" t="s">
        <v>344</v>
      </c>
      <c r="E156" s="641">
        <v>35000</v>
      </c>
      <c r="F156" s="641">
        <v>35000</v>
      </c>
      <c r="G156" s="641">
        <v>35000</v>
      </c>
      <c r="H156" s="641">
        <v>35000</v>
      </c>
      <c r="I156" s="641">
        <v>35000</v>
      </c>
      <c r="J156" s="641">
        <v>35000</v>
      </c>
      <c r="K156" s="642">
        <f t="shared" si="22"/>
        <v>210000</v>
      </c>
      <c r="L156" s="874"/>
    </row>
    <row r="157" ht="25" customHeight="1" spans="1:12">
      <c r="A157" s="886">
        <v>24</v>
      </c>
      <c r="B157" s="351" t="s">
        <v>345</v>
      </c>
      <c r="C157" s="83" t="s">
        <v>346</v>
      </c>
      <c r="D157" s="640" t="s">
        <v>111</v>
      </c>
      <c r="E157" s="641">
        <v>35000</v>
      </c>
      <c r="F157" s="641">
        <v>35000</v>
      </c>
      <c r="G157" s="641">
        <v>35000</v>
      </c>
      <c r="H157" s="641">
        <v>35000</v>
      </c>
      <c r="I157" s="641">
        <v>35000</v>
      </c>
      <c r="J157" s="641">
        <v>35000</v>
      </c>
      <c r="K157" s="642">
        <f t="shared" si="22"/>
        <v>210000</v>
      </c>
      <c r="L157" s="874"/>
    </row>
    <row r="158" ht="25" customHeight="1" spans="1:12">
      <c r="A158" s="886">
        <v>25</v>
      </c>
      <c r="B158" s="351" t="s">
        <v>347</v>
      </c>
      <c r="C158" s="83" t="s">
        <v>348</v>
      </c>
      <c r="D158" s="640" t="s">
        <v>111</v>
      </c>
      <c r="E158" s="641">
        <v>35000</v>
      </c>
      <c r="F158" s="641">
        <v>35000</v>
      </c>
      <c r="G158" s="641">
        <v>35000</v>
      </c>
      <c r="H158" s="641">
        <v>35000</v>
      </c>
      <c r="I158" s="641">
        <v>35000</v>
      </c>
      <c r="J158" s="641">
        <v>35000</v>
      </c>
      <c r="K158" s="642">
        <f t="shared" si="22"/>
        <v>210000</v>
      </c>
      <c r="L158" s="874"/>
    </row>
    <row r="159" ht="25" customHeight="1" spans="1:12">
      <c r="A159" s="886">
        <v>26</v>
      </c>
      <c r="B159" s="351" t="s">
        <v>349</v>
      </c>
      <c r="C159" s="83" t="s">
        <v>350</v>
      </c>
      <c r="D159" s="640" t="s">
        <v>111</v>
      </c>
      <c r="E159" s="641">
        <v>35000</v>
      </c>
      <c r="F159" s="641">
        <v>35000</v>
      </c>
      <c r="G159" s="641">
        <v>35000</v>
      </c>
      <c r="H159" s="641">
        <v>35000</v>
      </c>
      <c r="I159" s="641">
        <v>35000</v>
      </c>
      <c r="J159" s="641">
        <v>35000</v>
      </c>
      <c r="K159" s="642">
        <f t="shared" si="22"/>
        <v>210000</v>
      </c>
      <c r="L159" s="874"/>
    </row>
    <row r="160" ht="25" customHeight="1" spans="1:12">
      <c r="A160" s="886">
        <v>27</v>
      </c>
      <c r="B160" s="351" t="s">
        <v>351</v>
      </c>
      <c r="C160" s="83" t="s">
        <v>569</v>
      </c>
      <c r="D160" s="640" t="s">
        <v>108</v>
      </c>
      <c r="E160" s="641">
        <v>35000</v>
      </c>
      <c r="F160" s="641">
        <v>35000</v>
      </c>
      <c r="G160" s="641">
        <v>35000</v>
      </c>
      <c r="H160" s="641">
        <v>35000</v>
      </c>
      <c r="I160" s="641">
        <v>35000</v>
      </c>
      <c r="J160" s="641">
        <v>35000</v>
      </c>
      <c r="K160" s="642">
        <f t="shared" si="22"/>
        <v>210000</v>
      </c>
      <c r="L160" s="874"/>
    </row>
    <row r="161" ht="25" customHeight="1" spans="1:12">
      <c r="A161" s="886">
        <v>28</v>
      </c>
      <c r="B161" s="351" t="s">
        <v>352</v>
      </c>
      <c r="C161" s="83" t="s">
        <v>348</v>
      </c>
      <c r="D161" s="640" t="s">
        <v>111</v>
      </c>
      <c r="E161" s="641">
        <v>35000</v>
      </c>
      <c r="F161" s="641">
        <v>35000</v>
      </c>
      <c r="G161" s="641">
        <v>35000</v>
      </c>
      <c r="H161" s="641">
        <v>35000</v>
      </c>
      <c r="I161" s="641">
        <v>35000</v>
      </c>
      <c r="J161" s="641">
        <v>35000</v>
      </c>
      <c r="K161" s="642">
        <f t="shared" si="22"/>
        <v>210000</v>
      </c>
      <c r="L161" s="874"/>
    </row>
    <row r="162" ht="25" customHeight="1" spans="1:12">
      <c r="A162" s="886">
        <v>29</v>
      </c>
      <c r="B162" s="643" t="s">
        <v>361</v>
      </c>
      <c r="C162" s="83" t="s">
        <v>362</v>
      </c>
      <c r="D162" s="640" t="s">
        <v>388</v>
      </c>
      <c r="E162" s="641">
        <v>35000</v>
      </c>
      <c r="F162" s="641">
        <v>35000</v>
      </c>
      <c r="G162" s="641">
        <v>35000</v>
      </c>
      <c r="H162" s="641">
        <v>35000</v>
      </c>
      <c r="I162" s="641">
        <v>35000</v>
      </c>
      <c r="J162" s="641">
        <v>35000</v>
      </c>
      <c r="K162" s="642">
        <f t="shared" si="22"/>
        <v>210000</v>
      </c>
      <c r="L162" s="874"/>
    </row>
    <row r="163" ht="25" customHeight="1" spans="1:12">
      <c r="A163" s="886">
        <v>30</v>
      </c>
      <c r="B163" s="643" t="s">
        <v>364</v>
      </c>
      <c r="C163" s="83" t="s">
        <v>362</v>
      </c>
      <c r="D163" s="640" t="s">
        <v>388</v>
      </c>
      <c r="E163" s="641">
        <v>35000</v>
      </c>
      <c r="F163" s="641">
        <v>35000</v>
      </c>
      <c r="G163" s="641">
        <v>35000</v>
      </c>
      <c r="H163" s="641">
        <v>35000</v>
      </c>
      <c r="I163" s="641">
        <v>35000</v>
      </c>
      <c r="J163" s="641">
        <v>35000</v>
      </c>
      <c r="K163" s="642">
        <f t="shared" si="22"/>
        <v>210000</v>
      </c>
      <c r="L163" s="874"/>
    </row>
    <row r="164" ht="25" customHeight="1" spans="1:12">
      <c r="A164" s="886">
        <v>31</v>
      </c>
      <c r="B164" s="643" t="s">
        <v>570</v>
      </c>
      <c r="C164" s="83" t="s">
        <v>362</v>
      </c>
      <c r="D164" s="640" t="s">
        <v>388</v>
      </c>
      <c r="E164" s="641">
        <v>35000</v>
      </c>
      <c r="F164" s="641">
        <v>35000</v>
      </c>
      <c r="G164" s="641">
        <v>35000</v>
      </c>
      <c r="H164" s="641">
        <v>35000</v>
      </c>
      <c r="I164" s="641">
        <v>35000</v>
      </c>
      <c r="J164" s="641">
        <v>35000</v>
      </c>
      <c r="K164" s="642">
        <f t="shared" si="22"/>
        <v>210000</v>
      </c>
      <c r="L164" s="874"/>
    </row>
    <row r="165" ht="25" customHeight="1" spans="1:12">
      <c r="A165" s="886">
        <v>32</v>
      </c>
      <c r="B165" s="643" t="s">
        <v>365</v>
      </c>
      <c r="C165" s="83" t="s">
        <v>362</v>
      </c>
      <c r="D165" s="640" t="s">
        <v>388</v>
      </c>
      <c r="E165" s="641">
        <v>35000</v>
      </c>
      <c r="F165" s="641">
        <v>35000</v>
      </c>
      <c r="G165" s="641">
        <v>35000</v>
      </c>
      <c r="H165" s="641">
        <v>35000</v>
      </c>
      <c r="I165" s="641">
        <v>35000</v>
      </c>
      <c r="J165" s="641">
        <v>35000</v>
      </c>
      <c r="K165" s="642">
        <f t="shared" si="22"/>
        <v>210000</v>
      </c>
      <c r="L165" s="874"/>
    </row>
    <row r="166" ht="25" customHeight="1" spans="1:12">
      <c r="A166" s="886">
        <v>33</v>
      </c>
      <c r="B166" s="643" t="s">
        <v>366</v>
      </c>
      <c r="C166" s="83" t="s">
        <v>362</v>
      </c>
      <c r="D166" s="640" t="s">
        <v>388</v>
      </c>
      <c r="E166" s="641">
        <v>35000</v>
      </c>
      <c r="F166" s="641">
        <v>35000</v>
      </c>
      <c r="G166" s="641">
        <v>35000</v>
      </c>
      <c r="H166" s="641">
        <v>35000</v>
      </c>
      <c r="I166" s="641">
        <v>35000</v>
      </c>
      <c r="J166" s="641">
        <v>35000</v>
      </c>
      <c r="K166" s="642">
        <f t="shared" si="22"/>
        <v>210000</v>
      </c>
      <c r="L166" s="874"/>
    </row>
    <row r="167" ht="25" customHeight="1" spans="1:12">
      <c r="A167" s="886">
        <v>34</v>
      </c>
      <c r="B167" s="643" t="s">
        <v>367</v>
      </c>
      <c r="C167" s="83" t="s">
        <v>362</v>
      </c>
      <c r="D167" s="640" t="s">
        <v>381</v>
      </c>
      <c r="E167" s="641">
        <v>35000</v>
      </c>
      <c r="F167" s="641">
        <v>35000</v>
      </c>
      <c r="G167" s="641">
        <v>35000</v>
      </c>
      <c r="H167" s="641">
        <v>35000</v>
      </c>
      <c r="I167" s="641">
        <v>35000</v>
      </c>
      <c r="J167" s="641">
        <v>35000</v>
      </c>
      <c r="K167" s="642">
        <f t="shared" si="22"/>
        <v>210000</v>
      </c>
      <c r="L167" s="874"/>
    </row>
    <row r="168" ht="25" customHeight="1" spans="1:12">
      <c r="A168" s="886">
        <v>35</v>
      </c>
      <c r="B168" s="643" t="s">
        <v>369</v>
      </c>
      <c r="C168" s="83" t="s">
        <v>362</v>
      </c>
      <c r="D168" s="640" t="s">
        <v>381</v>
      </c>
      <c r="E168" s="641">
        <v>35000</v>
      </c>
      <c r="F168" s="641">
        <v>35000</v>
      </c>
      <c r="G168" s="641">
        <v>35000</v>
      </c>
      <c r="H168" s="641">
        <v>35000</v>
      </c>
      <c r="I168" s="641">
        <v>35000</v>
      </c>
      <c r="J168" s="641">
        <v>35000</v>
      </c>
      <c r="K168" s="642">
        <f t="shared" si="22"/>
        <v>210000</v>
      </c>
      <c r="L168" s="874"/>
    </row>
    <row r="169" ht="25" customHeight="1" spans="1:12">
      <c r="A169" s="886">
        <v>36</v>
      </c>
      <c r="B169" s="639" t="s">
        <v>370</v>
      </c>
      <c r="C169" s="83" t="s">
        <v>362</v>
      </c>
      <c r="D169" s="640" t="s">
        <v>381</v>
      </c>
      <c r="E169" s="641">
        <v>35000</v>
      </c>
      <c r="F169" s="641">
        <v>35000</v>
      </c>
      <c r="G169" s="641">
        <v>35000</v>
      </c>
      <c r="H169" s="641">
        <v>35000</v>
      </c>
      <c r="I169" s="641">
        <v>35000</v>
      </c>
      <c r="J169" s="641">
        <v>35000</v>
      </c>
      <c r="K169" s="642">
        <f t="shared" si="22"/>
        <v>210000</v>
      </c>
      <c r="L169" s="874"/>
    </row>
    <row r="170" ht="25" customHeight="1" spans="1:12">
      <c r="A170" s="886">
        <v>37</v>
      </c>
      <c r="B170" s="643" t="s">
        <v>371</v>
      </c>
      <c r="C170" s="83" t="s">
        <v>362</v>
      </c>
      <c r="D170" s="640" t="s">
        <v>381</v>
      </c>
      <c r="E170" s="641">
        <v>35000</v>
      </c>
      <c r="F170" s="641">
        <v>35000</v>
      </c>
      <c r="G170" s="641">
        <v>35000</v>
      </c>
      <c r="H170" s="641">
        <v>35000</v>
      </c>
      <c r="I170" s="641">
        <v>35000</v>
      </c>
      <c r="J170" s="641">
        <v>35000</v>
      </c>
      <c r="K170" s="642">
        <f t="shared" si="22"/>
        <v>210000</v>
      </c>
      <c r="L170" s="874"/>
    </row>
    <row r="171" ht="25" customHeight="1" spans="1:12">
      <c r="A171" s="886">
        <v>38</v>
      </c>
      <c r="B171" s="351" t="s">
        <v>372</v>
      </c>
      <c r="C171" s="83" t="s">
        <v>362</v>
      </c>
      <c r="D171" s="640" t="s">
        <v>381</v>
      </c>
      <c r="E171" s="641">
        <v>35000</v>
      </c>
      <c r="F171" s="641">
        <v>35000</v>
      </c>
      <c r="G171" s="641">
        <v>35000</v>
      </c>
      <c r="H171" s="641">
        <v>35000</v>
      </c>
      <c r="I171" s="641">
        <v>35000</v>
      </c>
      <c r="J171" s="641">
        <v>35000</v>
      </c>
      <c r="K171" s="642">
        <f t="shared" si="22"/>
        <v>210000</v>
      </c>
      <c r="L171" s="874"/>
    </row>
    <row r="172" ht="25" customHeight="1" spans="1:12">
      <c r="A172" s="886">
        <v>39</v>
      </c>
      <c r="B172" s="351" t="s">
        <v>359</v>
      </c>
      <c r="C172" s="83" t="s">
        <v>362</v>
      </c>
      <c r="D172" s="640" t="s">
        <v>381</v>
      </c>
      <c r="E172" s="641">
        <v>35000</v>
      </c>
      <c r="F172" s="641">
        <v>35000</v>
      </c>
      <c r="G172" s="641">
        <v>35000</v>
      </c>
      <c r="H172" s="641">
        <v>35000</v>
      </c>
      <c r="I172" s="641">
        <v>35000</v>
      </c>
      <c r="J172" s="641">
        <v>35000</v>
      </c>
      <c r="K172" s="642">
        <f t="shared" si="22"/>
        <v>210000</v>
      </c>
      <c r="L172" s="874"/>
    </row>
    <row r="173" ht="25" customHeight="1" spans="1:12">
      <c r="A173" s="886">
        <v>40</v>
      </c>
      <c r="B173" s="643" t="s">
        <v>373</v>
      </c>
      <c r="C173" s="83" t="s">
        <v>374</v>
      </c>
      <c r="D173" s="640" t="s">
        <v>511</v>
      </c>
      <c r="E173" s="641">
        <v>35000</v>
      </c>
      <c r="F173" s="641">
        <v>35000</v>
      </c>
      <c r="G173" s="641">
        <v>35000</v>
      </c>
      <c r="H173" s="641">
        <v>35000</v>
      </c>
      <c r="I173" s="641">
        <v>35000</v>
      </c>
      <c r="J173" s="641">
        <v>35000</v>
      </c>
      <c r="K173" s="642">
        <f t="shared" si="22"/>
        <v>210000</v>
      </c>
      <c r="L173" s="874"/>
    </row>
    <row r="174" ht="25" customHeight="1" spans="1:12">
      <c r="A174" s="886">
        <v>41</v>
      </c>
      <c r="B174" s="643" t="s">
        <v>376</v>
      </c>
      <c r="C174" s="83" t="s">
        <v>374</v>
      </c>
      <c r="D174" s="640" t="s">
        <v>511</v>
      </c>
      <c r="E174" s="641">
        <v>35000</v>
      </c>
      <c r="F174" s="641">
        <v>35000</v>
      </c>
      <c r="G174" s="641">
        <v>35000</v>
      </c>
      <c r="H174" s="641">
        <v>35000</v>
      </c>
      <c r="I174" s="641">
        <v>35000</v>
      </c>
      <c r="J174" s="641">
        <v>35000</v>
      </c>
      <c r="K174" s="642">
        <f t="shared" si="22"/>
        <v>210000</v>
      </c>
      <c r="L174" s="874"/>
    </row>
    <row r="175" ht="25" customHeight="1" spans="1:12">
      <c r="A175" s="886">
        <v>42</v>
      </c>
      <c r="B175" s="351" t="s">
        <v>377</v>
      </c>
      <c r="C175" s="83" t="s">
        <v>374</v>
      </c>
      <c r="D175" s="640" t="s">
        <v>510</v>
      </c>
      <c r="E175" s="641">
        <v>35000</v>
      </c>
      <c r="F175" s="641">
        <v>35000</v>
      </c>
      <c r="G175" s="641">
        <v>35000</v>
      </c>
      <c r="H175" s="641">
        <v>35000</v>
      </c>
      <c r="I175" s="641">
        <v>35000</v>
      </c>
      <c r="J175" s="641">
        <v>35000</v>
      </c>
      <c r="K175" s="642">
        <f t="shared" si="22"/>
        <v>210000</v>
      </c>
      <c r="L175" s="874"/>
    </row>
    <row r="176" ht="25" customHeight="1" spans="1:12">
      <c r="A176" s="886">
        <v>43</v>
      </c>
      <c r="B176" s="643" t="s">
        <v>379</v>
      </c>
      <c r="C176" s="83" t="s">
        <v>393</v>
      </c>
      <c r="D176" s="640" t="s">
        <v>512</v>
      </c>
      <c r="E176" s="641">
        <v>35000</v>
      </c>
      <c r="F176" s="641">
        <v>35000</v>
      </c>
      <c r="G176" s="641">
        <v>35000</v>
      </c>
      <c r="H176" s="641">
        <v>35000</v>
      </c>
      <c r="I176" s="641">
        <v>35000</v>
      </c>
      <c r="J176" s="641">
        <v>35000</v>
      </c>
      <c r="K176" s="642">
        <f t="shared" si="22"/>
        <v>210000</v>
      </c>
      <c r="L176" s="874"/>
    </row>
    <row r="177" ht="25" customHeight="1" spans="1:12">
      <c r="A177" s="886">
        <v>44</v>
      </c>
      <c r="B177" s="643" t="s">
        <v>382</v>
      </c>
      <c r="C177" s="83" t="s">
        <v>390</v>
      </c>
      <c r="D177" s="640" t="s">
        <v>573</v>
      </c>
      <c r="E177" s="641">
        <v>35000</v>
      </c>
      <c r="F177" s="641">
        <v>35000</v>
      </c>
      <c r="G177" s="641">
        <v>35000</v>
      </c>
      <c r="H177" s="641">
        <v>35000</v>
      </c>
      <c r="I177" s="641">
        <v>35000</v>
      </c>
      <c r="J177" s="641">
        <v>35000</v>
      </c>
      <c r="K177" s="642">
        <f t="shared" si="22"/>
        <v>210000</v>
      </c>
      <c r="L177" s="874"/>
    </row>
    <row r="178" ht="25" customHeight="1" spans="1:12">
      <c r="A178" s="886">
        <v>45</v>
      </c>
      <c r="B178" s="643" t="s">
        <v>383</v>
      </c>
      <c r="C178" s="83" t="s">
        <v>390</v>
      </c>
      <c r="D178" s="640" t="s">
        <v>573</v>
      </c>
      <c r="E178" s="641">
        <v>35000</v>
      </c>
      <c r="F178" s="641">
        <v>35000</v>
      </c>
      <c r="G178" s="641">
        <v>35000</v>
      </c>
      <c r="H178" s="641">
        <v>35000</v>
      </c>
      <c r="I178" s="641">
        <v>35000</v>
      </c>
      <c r="J178" s="641">
        <v>35000</v>
      </c>
      <c r="K178" s="642">
        <f t="shared" si="22"/>
        <v>210000</v>
      </c>
      <c r="L178" s="874"/>
    </row>
    <row r="179" ht="25" customHeight="1" spans="1:12">
      <c r="A179" s="886">
        <v>46</v>
      </c>
      <c r="B179" s="643" t="s">
        <v>384</v>
      </c>
      <c r="C179" s="83" t="s">
        <v>390</v>
      </c>
      <c r="D179" s="640" t="s">
        <v>573</v>
      </c>
      <c r="E179" s="641">
        <v>35000</v>
      </c>
      <c r="F179" s="641">
        <v>35000</v>
      </c>
      <c r="G179" s="641">
        <v>35000</v>
      </c>
      <c r="H179" s="641">
        <v>35000</v>
      </c>
      <c r="I179" s="641">
        <v>35000</v>
      </c>
      <c r="J179" s="641">
        <v>35000</v>
      </c>
      <c r="K179" s="642">
        <f t="shared" si="22"/>
        <v>210000</v>
      </c>
      <c r="L179" s="874"/>
    </row>
    <row r="180" ht="25" customHeight="1" spans="1:12">
      <c r="A180" s="886">
        <v>47</v>
      </c>
      <c r="B180" s="643" t="s">
        <v>385</v>
      </c>
      <c r="C180" s="83" t="s">
        <v>390</v>
      </c>
      <c r="D180" s="640" t="s">
        <v>573</v>
      </c>
      <c r="E180" s="641">
        <v>35000</v>
      </c>
      <c r="F180" s="641">
        <v>35000</v>
      </c>
      <c r="G180" s="641">
        <v>35000</v>
      </c>
      <c r="H180" s="641">
        <v>35000</v>
      </c>
      <c r="I180" s="641">
        <v>35000</v>
      </c>
      <c r="J180" s="641">
        <v>35000</v>
      </c>
      <c r="K180" s="642">
        <f t="shared" si="22"/>
        <v>210000</v>
      </c>
      <c r="L180" s="874"/>
    </row>
    <row r="181" ht="25" customHeight="1" spans="1:12">
      <c r="A181" s="886">
        <v>48</v>
      </c>
      <c r="B181" s="643" t="s">
        <v>386</v>
      </c>
      <c r="C181" s="83" t="s">
        <v>390</v>
      </c>
      <c r="D181" s="640" t="s">
        <v>573</v>
      </c>
      <c r="E181" s="641">
        <v>35000</v>
      </c>
      <c r="F181" s="641">
        <v>35000</v>
      </c>
      <c r="G181" s="641">
        <v>35000</v>
      </c>
      <c r="H181" s="641">
        <v>35000</v>
      </c>
      <c r="I181" s="641">
        <v>35000</v>
      </c>
      <c r="J181" s="641">
        <v>35000</v>
      </c>
      <c r="K181" s="642">
        <f t="shared" si="22"/>
        <v>210000</v>
      </c>
      <c r="L181" s="874"/>
    </row>
    <row r="182" ht="25" customHeight="1" spans="1:12">
      <c r="A182" s="886">
        <v>49</v>
      </c>
      <c r="B182" s="351" t="s">
        <v>387</v>
      </c>
      <c r="C182" s="83" t="s">
        <v>390</v>
      </c>
      <c r="D182" s="640" t="s">
        <v>573</v>
      </c>
      <c r="E182" s="641">
        <v>35000</v>
      </c>
      <c r="F182" s="641">
        <v>35000</v>
      </c>
      <c r="G182" s="641">
        <v>35000</v>
      </c>
      <c r="H182" s="641">
        <v>35000</v>
      </c>
      <c r="I182" s="641">
        <v>35000</v>
      </c>
      <c r="J182" s="641">
        <v>35000</v>
      </c>
      <c r="K182" s="642">
        <f t="shared" si="22"/>
        <v>210000</v>
      </c>
      <c r="L182" s="874"/>
    </row>
    <row r="183" ht="25" customHeight="1" spans="1:12">
      <c r="A183" s="886">
        <v>50</v>
      </c>
      <c r="B183" s="351" t="s">
        <v>389</v>
      </c>
      <c r="C183" s="83" t="s">
        <v>390</v>
      </c>
      <c r="D183" s="640" t="s">
        <v>573</v>
      </c>
      <c r="E183" s="641">
        <v>35000</v>
      </c>
      <c r="F183" s="641">
        <v>35000</v>
      </c>
      <c r="G183" s="641">
        <v>35000</v>
      </c>
      <c r="H183" s="641">
        <v>35000</v>
      </c>
      <c r="I183" s="641">
        <v>35000</v>
      </c>
      <c r="J183" s="641">
        <v>35000</v>
      </c>
      <c r="K183" s="642">
        <f t="shared" si="22"/>
        <v>210000</v>
      </c>
      <c r="L183" s="874"/>
    </row>
    <row r="184" ht="25" customHeight="1" spans="1:12">
      <c r="A184" s="886">
        <v>51</v>
      </c>
      <c r="B184" s="643" t="s">
        <v>572</v>
      </c>
      <c r="C184" s="83" t="s">
        <v>393</v>
      </c>
      <c r="D184" s="640" t="s">
        <v>573</v>
      </c>
      <c r="E184" s="641">
        <v>35000</v>
      </c>
      <c r="F184" s="641">
        <v>35000</v>
      </c>
      <c r="G184" s="641">
        <v>35000</v>
      </c>
      <c r="H184" s="641">
        <v>35000</v>
      </c>
      <c r="I184" s="641">
        <v>35000</v>
      </c>
      <c r="J184" s="641">
        <v>35000</v>
      </c>
      <c r="K184" s="642">
        <f t="shared" si="22"/>
        <v>210000</v>
      </c>
      <c r="L184" s="874"/>
    </row>
    <row r="185" ht="25" customHeight="1" spans="1:12">
      <c r="A185" s="886">
        <v>52</v>
      </c>
      <c r="B185" s="643" t="s">
        <v>392</v>
      </c>
      <c r="C185" s="83" t="s">
        <v>393</v>
      </c>
      <c r="D185" s="640" t="s">
        <v>573</v>
      </c>
      <c r="E185" s="641">
        <v>35000</v>
      </c>
      <c r="F185" s="641">
        <v>35000</v>
      </c>
      <c r="G185" s="641">
        <v>35000</v>
      </c>
      <c r="H185" s="641">
        <v>35000</v>
      </c>
      <c r="I185" s="641">
        <v>35000</v>
      </c>
      <c r="J185" s="641">
        <v>35000</v>
      </c>
      <c r="K185" s="642">
        <f t="shared" si="22"/>
        <v>210000</v>
      </c>
      <c r="L185" s="874"/>
    </row>
    <row r="186" ht="25" customHeight="1" spans="1:12">
      <c r="A186" s="886">
        <v>53</v>
      </c>
      <c r="B186" s="351" t="s">
        <v>360</v>
      </c>
      <c r="C186" s="83" t="s">
        <v>395</v>
      </c>
      <c r="D186" s="640" t="s">
        <v>396</v>
      </c>
      <c r="E186" s="641">
        <v>35000</v>
      </c>
      <c r="F186" s="641">
        <v>35000</v>
      </c>
      <c r="G186" s="641">
        <v>35000</v>
      </c>
      <c r="H186" s="641">
        <v>35000</v>
      </c>
      <c r="I186" s="641">
        <v>35000</v>
      </c>
      <c r="J186" s="641">
        <v>35000</v>
      </c>
      <c r="K186" s="642">
        <f t="shared" si="22"/>
        <v>210000</v>
      </c>
      <c r="L186" s="874"/>
    </row>
    <row r="187" ht="25" customHeight="1" spans="1:12">
      <c r="A187" s="886">
        <v>54</v>
      </c>
      <c r="B187" s="351" t="s">
        <v>397</v>
      </c>
      <c r="C187" s="83" t="s">
        <v>390</v>
      </c>
      <c r="D187" s="640" t="s">
        <v>403</v>
      </c>
      <c r="E187" s="641">
        <v>35000</v>
      </c>
      <c r="F187" s="641">
        <v>35000</v>
      </c>
      <c r="G187" s="641">
        <v>35000</v>
      </c>
      <c r="H187" s="641">
        <v>35000</v>
      </c>
      <c r="I187" s="641">
        <v>35000</v>
      </c>
      <c r="J187" s="641">
        <v>35000</v>
      </c>
      <c r="K187" s="642">
        <f t="shared" si="22"/>
        <v>210000</v>
      </c>
      <c r="L187" s="874"/>
    </row>
    <row r="188" ht="25" customHeight="1" spans="1:12">
      <c r="A188" s="886">
        <v>55</v>
      </c>
      <c r="B188" s="351" t="s">
        <v>401</v>
      </c>
      <c r="C188" s="83" t="s">
        <v>402</v>
      </c>
      <c r="D188" s="640" t="s">
        <v>865</v>
      </c>
      <c r="E188" s="641">
        <v>35000</v>
      </c>
      <c r="F188" s="641">
        <v>35000</v>
      </c>
      <c r="G188" s="641">
        <v>35000</v>
      </c>
      <c r="H188" s="641">
        <v>35000</v>
      </c>
      <c r="I188" s="641">
        <v>35000</v>
      </c>
      <c r="J188" s="641">
        <v>35000</v>
      </c>
      <c r="K188" s="642">
        <f t="shared" si="22"/>
        <v>210000</v>
      </c>
      <c r="L188" s="874"/>
    </row>
    <row r="189" ht="25" customHeight="1" spans="1:12">
      <c r="A189" s="886">
        <v>56</v>
      </c>
      <c r="B189" s="351" t="s">
        <v>404</v>
      </c>
      <c r="C189" s="83" t="s">
        <v>402</v>
      </c>
      <c r="D189" s="640" t="s">
        <v>865</v>
      </c>
      <c r="E189" s="641">
        <v>35000</v>
      </c>
      <c r="F189" s="641">
        <v>35000</v>
      </c>
      <c r="G189" s="641">
        <v>35000</v>
      </c>
      <c r="H189" s="641">
        <v>35000</v>
      </c>
      <c r="I189" s="641">
        <v>35000</v>
      </c>
      <c r="J189" s="641">
        <v>35000</v>
      </c>
      <c r="K189" s="642">
        <f t="shared" si="22"/>
        <v>210000</v>
      </c>
      <c r="L189" s="874"/>
    </row>
    <row r="190" ht="25" customHeight="1" spans="1:12">
      <c r="A190" s="886">
        <v>57</v>
      </c>
      <c r="B190" s="351" t="s">
        <v>405</v>
      </c>
      <c r="C190" s="83" t="s">
        <v>402</v>
      </c>
      <c r="D190" s="640" t="s">
        <v>865</v>
      </c>
      <c r="E190" s="641">
        <v>35000</v>
      </c>
      <c r="F190" s="641">
        <v>35000</v>
      </c>
      <c r="G190" s="641">
        <v>35000</v>
      </c>
      <c r="H190" s="641">
        <v>35000</v>
      </c>
      <c r="I190" s="641">
        <v>35000</v>
      </c>
      <c r="J190" s="641">
        <v>35000</v>
      </c>
      <c r="K190" s="642">
        <f t="shared" si="22"/>
        <v>210000</v>
      </c>
      <c r="L190" s="874"/>
    </row>
    <row r="191" ht="25" customHeight="1" spans="1:12">
      <c r="A191" s="886">
        <v>58</v>
      </c>
      <c r="B191" s="351" t="s">
        <v>406</v>
      </c>
      <c r="C191" s="83" t="s">
        <v>407</v>
      </c>
      <c r="D191" s="640" t="s">
        <v>398</v>
      </c>
      <c r="E191" s="641">
        <v>35000</v>
      </c>
      <c r="F191" s="641">
        <v>35000</v>
      </c>
      <c r="G191" s="641">
        <v>35000</v>
      </c>
      <c r="H191" s="641">
        <v>35000</v>
      </c>
      <c r="I191" s="641">
        <v>35000</v>
      </c>
      <c r="J191" s="641">
        <v>35000</v>
      </c>
      <c r="K191" s="642">
        <f t="shared" si="22"/>
        <v>210000</v>
      </c>
      <c r="L191" s="874"/>
    </row>
    <row r="192" ht="25" customHeight="1" spans="1:12">
      <c r="A192" s="886">
        <v>59</v>
      </c>
      <c r="B192" s="351" t="s">
        <v>409</v>
      </c>
      <c r="C192" s="83" t="s">
        <v>407</v>
      </c>
      <c r="D192" s="640" t="s">
        <v>398</v>
      </c>
      <c r="E192" s="641">
        <v>35000</v>
      </c>
      <c r="F192" s="641">
        <v>35000</v>
      </c>
      <c r="G192" s="641">
        <v>35000</v>
      </c>
      <c r="H192" s="641">
        <v>35000</v>
      </c>
      <c r="I192" s="641">
        <v>35000</v>
      </c>
      <c r="J192" s="641">
        <v>35000</v>
      </c>
      <c r="K192" s="642">
        <f t="shared" si="22"/>
        <v>210000</v>
      </c>
      <c r="L192" s="874"/>
    </row>
    <row r="193" ht="25" customHeight="1" spans="1:12">
      <c r="A193" s="886"/>
      <c r="B193" s="81" t="s">
        <v>120</v>
      </c>
      <c r="C193" s="100" t="s">
        <v>866</v>
      </c>
      <c r="D193" s="887"/>
      <c r="E193" s="888">
        <f t="shared" ref="E193:K193" si="23">SUM(E134:E192)</f>
        <v>2065000</v>
      </c>
      <c r="F193" s="888">
        <f t="shared" si="23"/>
        <v>2065000</v>
      </c>
      <c r="G193" s="888">
        <f t="shared" si="23"/>
        <v>2065000</v>
      </c>
      <c r="H193" s="888">
        <f t="shared" si="23"/>
        <v>2065000</v>
      </c>
      <c r="I193" s="888">
        <f t="shared" si="23"/>
        <v>2065000</v>
      </c>
      <c r="J193" s="888">
        <f t="shared" si="23"/>
        <v>2065000</v>
      </c>
      <c r="K193" s="895">
        <f t="shared" si="23"/>
        <v>12390000</v>
      </c>
      <c r="L193" s="874"/>
    </row>
    <row r="194" ht="38" customHeight="1" spans="1:12">
      <c r="A194" s="86"/>
      <c r="B194" s="889" t="s">
        <v>411</v>
      </c>
      <c r="C194" s="101">
        <f>C34+C40+C54+C59+C72+C82+C95+C102+C112+C131+C193</f>
        <v>151</v>
      </c>
      <c r="D194" s="890"/>
      <c r="E194" s="891">
        <f t="shared" ref="E194:J194" si="24">E193+E131+E118+E112+E102+E95+E82+E72+E59+E54+D40+E34</f>
        <v>5250000</v>
      </c>
      <c r="F194" s="891">
        <f t="shared" si="24"/>
        <v>5355000</v>
      </c>
      <c r="G194" s="891">
        <f t="shared" si="24"/>
        <v>5355000</v>
      </c>
      <c r="H194" s="891">
        <f t="shared" si="24"/>
        <v>5355000</v>
      </c>
      <c r="I194" s="891">
        <f t="shared" si="24"/>
        <v>5355000</v>
      </c>
      <c r="J194" s="891">
        <f t="shared" si="24"/>
        <v>5355000</v>
      </c>
      <c r="K194" s="891">
        <f>K193+K131+K118+K112+K102+K95+K82+K72+K59+K54+K40+K34</f>
        <v>32130000</v>
      </c>
      <c r="L194" s="874"/>
    </row>
    <row r="195" ht="25" customHeight="1" spans="1:11">
      <c r="A195" s="892"/>
      <c r="B195" s="893"/>
      <c r="C195" s="892"/>
      <c r="D195" s="894"/>
      <c r="E195" s="894"/>
      <c r="F195" s="894"/>
      <c r="G195" s="894"/>
      <c r="H195" s="894"/>
      <c r="I195" s="894"/>
      <c r="J195" s="894"/>
      <c r="K195" s="896"/>
    </row>
    <row r="196" ht="18" spans="1:11">
      <c r="A196" s="892"/>
      <c r="B196" s="893"/>
      <c r="C196" s="894"/>
      <c r="D196" s="894"/>
      <c r="E196" s="894"/>
      <c r="F196" s="894"/>
      <c r="G196" s="894"/>
      <c r="H196" s="894"/>
      <c r="I196" s="894"/>
      <c r="J196" s="894"/>
      <c r="K196" s="896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/>
  <headerFooter/>
  <rowBreaks count="1" manualBreakCount="1">
    <brk id="132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9" workbookViewId="0">
      <selection activeCell="I15" sqref="I15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32" customHeight="1" spans="1:4">
      <c r="A2" s="854" t="s">
        <v>867</v>
      </c>
      <c r="B2" s="854"/>
      <c r="C2" s="854"/>
      <c r="D2" s="855"/>
    </row>
    <row r="3" ht="18" spans="1:4">
      <c r="A3" s="1"/>
      <c r="B3" s="1"/>
      <c r="C3" s="1"/>
      <c r="D3" s="217" t="e">
        <f>'[1]FEB 08'!E11/'[1]FEB 08'!M11</f>
        <v>#REF!</v>
      </c>
    </row>
    <row r="4" ht="42" customHeight="1" spans="1:4">
      <c r="A4" s="4"/>
      <c r="B4" s="6" t="s">
        <v>3</v>
      </c>
      <c r="C4" s="80" t="s">
        <v>4</v>
      </c>
      <c r="D4" s="218" t="s">
        <v>868</v>
      </c>
    </row>
    <row r="5" ht="30" customHeight="1" spans="1:4">
      <c r="A5" s="4">
        <v>1</v>
      </c>
      <c r="B5" s="17" t="s">
        <v>869</v>
      </c>
      <c r="C5" s="838" t="s">
        <v>870</v>
      </c>
      <c r="D5" s="838">
        <v>1</v>
      </c>
    </row>
    <row r="6" ht="30" customHeight="1" spans="1:4">
      <c r="A6" s="4">
        <v>2</v>
      </c>
      <c r="B6" s="43" t="s">
        <v>871</v>
      </c>
      <c r="C6" s="1089" t="s">
        <v>872</v>
      </c>
      <c r="D6" s="49">
        <v>8</v>
      </c>
    </row>
    <row r="7" ht="30" customHeight="1" spans="1:4">
      <c r="A7" s="4">
        <v>3</v>
      </c>
      <c r="B7" s="43" t="s">
        <v>873</v>
      </c>
      <c r="C7" s="1089" t="s">
        <v>874</v>
      </c>
      <c r="D7" s="49">
        <v>11</v>
      </c>
    </row>
    <row r="8" ht="30" customHeight="1" spans="1:4">
      <c r="A8" s="4">
        <v>4</v>
      </c>
      <c r="B8" s="43" t="s">
        <v>875</v>
      </c>
      <c r="C8" s="1089" t="s">
        <v>876</v>
      </c>
      <c r="D8" s="49">
        <v>13</v>
      </c>
    </row>
    <row r="9" ht="30" customHeight="1" spans="1:4">
      <c r="A9" s="4">
        <v>5</v>
      </c>
      <c r="B9" s="43" t="s">
        <v>877</v>
      </c>
      <c r="C9" s="1089" t="s">
        <v>878</v>
      </c>
      <c r="D9" s="49">
        <v>11</v>
      </c>
    </row>
    <row r="10" ht="30" customHeight="1" spans="1:4">
      <c r="A10" s="4">
        <v>6</v>
      </c>
      <c r="B10" s="43" t="s">
        <v>879</v>
      </c>
      <c r="C10" s="1089" t="s">
        <v>880</v>
      </c>
      <c r="D10" s="49">
        <v>15</v>
      </c>
    </row>
    <row r="11" ht="30" customHeight="1" spans="1:4">
      <c r="A11" s="4">
        <v>7</v>
      </c>
      <c r="B11" s="43" t="s">
        <v>715</v>
      </c>
      <c r="C11" s="1089" t="s">
        <v>881</v>
      </c>
      <c r="D11" s="49">
        <v>22</v>
      </c>
    </row>
    <row r="12" ht="30" customHeight="1" spans="1:4">
      <c r="A12" s="4">
        <v>8</v>
      </c>
      <c r="B12" s="43" t="s">
        <v>882</v>
      </c>
      <c r="C12" s="1089" t="s">
        <v>883</v>
      </c>
      <c r="D12" s="49">
        <v>14</v>
      </c>
    </row>
    <row r="13" ht="30" customHeight="1" spans="1:4">
      <c r="A13" s="4">
        <v>9</v>
      </c>
      <c r="B13" s="43" t="s">
        <v>884</v>
      </c>
      <c r="C13" s="1089" t="s">
        <v>885</v>
      </c>
      <c r="D13" s="49">
        <v>27</v>
      </c>
    </row>
    <row r="14" ht="30" customHeight="1" spans="1:4">
      <c r="A14" s="4">
        <v>10</v>
      </c>
      <c r="B14" s="43" t="s">
        <v>886</v>
      </c>
      <c r="C14" s="1089" t="s">
        <v>887</v>
      </c>
      <c r="D14" s="49">
        <v>26</v>
      </c>
    </row>
    <row r="15" ht="30" customHeight="1" spans="1:4">
      <c r="A15" s="4">
        <v>11</v>
      </c>
      <c r="B15" s="43" t="s">
        <v>888</v>
      </c>
      <c r="C15" s="1089" t="s">
        <v>889</v>
      </c>
      <c r="D15" s="49">
        <v>15</v>
      </c>
    </row>
    <row r="16" ht="30" customHeight="1" spans="1:4">
      <c r="A16" s="4">
        <v>12</v>
      </c>
      <c r="B16" s="43" t="s">
        <v>890</v>
      </c>
      <c r="C16" s="1089" t="s">
        <v>891</v>
      </c>
      <c r="D16" s="49">
        <v>14</v>
      </c>
    </row>
    <row r="17" ht="30" customHeight="1" spans="1:4">
      <c r="A17" s="4">
        <v>13</v>
      </c>
      <c r="B17" s="43" t="s">
        <v>892</v>
      </c>
      <c r="C17" s="1089" t="s">
        <v>893</v>
      </c>
      <c r="D17" s="49">
        <v>3</v>
      </c>
    </row>
    <row r="18" ht="30" customHeight="1" spans="1:4">
      <c r="A18" s="43"/>
      <c r="B18" s="42" t="s">
        <v>894</v>
      </c>
      <c r="C18" s="42"/>
      <c r="D18" s="68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Normal="100" workbookViewId="0">
      <selection activeCell="G20" sqref="G20"/>
    </sheetView>
  </sheetViews>
  <sheetFormatPr defaultColWidth="8.72727272727273" defaultRowHeight="12.5" outlineLevelCol="3"/>
  <cols>
    <col min="1" max="1" width="5.09090909090909" customWidth="1"/>
    <col min="2" max="2" width="43.8181818181818" customWidth="1"/>
    <col min="3" max="3" width="23" customWidth="1"/>
    <col min="4" max="4" width="19" customWidth="1"/>
  </cols>
  <sheetData>
    <row r="1" ht="27" customHeight="1" spans="1:4">
      <c r="A1" s="837" t="s">
        <v>0</v>
      </c>
      <c r="B1" s="837"/>
      <c r="C1" s="837"/>
      <c r="D1" s="837"/>
    </row>
    <row r="2" ht="49" customHeight="1" spans="1:4">
      <c r="A2" s="837" t="s">
        <v>895</v>
      </c>
      <c r="B2" s="837"/>
      <c r="C2" s="837"/>
      <c r="D2" s="837"/>
    </row>
    <row r="3" ht="4" customHeight="1" spans="1:4">
      <c r="A3" s="1"/>
      <c r="B3" s="1"/>
      <c r="C3" s="1"/>
      <c r="D3" s="217" t="e">
        <f>'[1]FEB 08'!E11/'[1]FEB 08'!M11</f>
        <v>#REF!</v>
      </c>
    </row>
    <row r="4" ht="35" customHeight="1" spans="1:4">
      <c r="A4" s="4"/>
      <c r="B4" s="6" t="s">
        <v>3</v>
      </c>
      <c r="C4" s="80" t="s">
        <v>4</v>
      </c>
      <c r="D4" s="218" t="s">
        <v>868</v>
      </c>
    </row>
    <row r="5" ht="25" customHeight="1" spans="1:4">
      <c r="A5" s="4">
        <v>1</v>
      </c>
      <c r="B5" s="17" t="s">
        <v>869</v>
      </c>
      <c r="C5" s="838" t="s">
        <v>870</v>
      </c>
      <c r="D5" s="838">
        <v>1</v>
      </c>
    </row>
    <row r="6" ht="25" customHeight="1" spans="1:4">
      <c r="A6" s="4">
        <v>2</v>
      </c>
      <c r="B6" s="43" t="s">
        <v>871</v>
      </c>
      <c r="C6" s="1089" t="s">
        <v>872</v>
      </c>
      <c r="D6" s="49">
        <v>10</v>
      </c>
    </row>
    <row r="7" ht="25" customHeight="1" spans="1:4">
      <c r="A7" s="4">
        <v>3</v>
      </c>
      <c r="B7" s="43" t="s">
        <v>873</v>
      </c>
      <c r="C7" s="1089" t="s">
        <v>874</v>
      </c>
      <c r="D7" s="49">
        <v>15</v>
      </c>
    </row>
    <row r="8" ht="25" customHeight="1" spans="1:4">
      <c r="A8" s="4">
        <v>4</v>
      </c>
      <c r="B8" s="43" t="s">
        <v>875</v>
      </c>
      <c r="C8" s="1089" t="s">
        <v>876</v>
      </c>
      <c r="D8" s="49">
        <v>19</v>
      </c>
    </row>
    <row r="9" ht="25" customHeight="1" spans="1:4">
      <c r="A9" s="4">
        <v>5</v>
      </c>
      <c r="B9" s="43" t="s">
        <v>877</v>
      </c>
      <c r="C9" s="1089" t="s">
        <v>878</v>
      </c>
      <c r="D9" s="49">
        <v>13</v>
      </c>
    </row>
    <row r="10" ht="25" customHeight="1" spans="1:4">
      <c r="A10" s="4">
        <v>6</v>
      </c>
      <c r="B10" s="43" t="s">
        <v>879</v>
      </c>
      <c r="C10" s="1089" t="s">
        <v>880</v>
      </c>
      <c r="D10" s="49">
        <v>17</v>
      </c>
    </row>
    <row r="11" ht="25" customHeight="1" spans="1:4">
      <c r="A11" s="4">
        <v>7</v>
      </c>
      <c r="B11" s="43" t="s">
        <v>715</v>
      </c>
      <c r="C11" s="1089" t="s">
        <v>881</v>
      </c>
      <c r="D11" s="49">
        <v>26</v>
      </c>
    </row>
    <row r="12" ht="25" customHeight="1" spans="1:4">
      <c r="A12" s="4">
        <v>8</v>
      </c>
      <c r="B12" s="43" t="s">
        <v>882</v>
      </c>
      <c r="C12" s="1089" t="s">
        <v>883</v>
      </c>
      <c r="D12" s="49">
        <v>17</v>
      </c>
    </row>
    <row r="13" ht="25" customHeight="1" spans="1:4">
      <c r="A13" s="4">
        <v>9</v>
      </c>
      <c r="B13" s="43" t="s">
        <v>884</v>
      </c>
      <c r="C13" s="1089" t="s">
        <v>885</v>
      </c>
      <c r="D13" s="49">
        <v>30</v>
      </c>
    </row>
    <row r="14" ht="25" customHeight="1" spans="1:4">
      <c r="A14" s="4">
        <v>10</v>
      </c>
      <c r="B14" s="43" t="s">
        <v>886</v>
      </c>
      <c r="C14" s="1089" t="s">
        <v>887</v>
      </c>
      <c r="D14" s="49">
        <f>26+14</f>
        <v>40</v>
      </c>
    </row>
    <row r="15" ht="25" customHeight="1" spans="1:4">
      <c r="A15" s="4">
        <v>11</v>
      </c>
      <c r="B15" s="43" t="s">
        <v>888</v>
      </c>
      <c r="C15" s="1089" t="s">
        <v>889</v>
      </c>
      <c r="D15" s="49">
        <v>15</v>
      </c>
    </row>
    <row r="16" ht="25" customHeight="1" spans="1:4">
      <c r="A16" s="4">
        <v>12</v>
      </c>
      <c r="B16" s="43" t="s">
        <v>890</v>
      </c>
      <c r="C16" s="1089" t="s">
        <v>891</v>
      </c>
      <c r="D16" s="49">
        <v>14</v>
      </c>
    </row>
    <row r="17" ht="25" customHeight="1" spans="1:4">
      <c r="A17" s="4">
        <v>13</v>
      </c>
      <c r="B17" s="43" t="s">
        <v>892</v>
      </c>
      <c r="C17" s="1089" t="s">
        <v>893</v>
      </c>
      <c r="D17" s="49">
        <v>3</v>
      </c>
    </row>
    <row r="18" ht="20" customHeight="1" spans="1:4">
      <c r="A18" s="839"/>
      <c r="B18" s="840" t="s">
        <v>896</v>
      </c>
      <c r="C18" s="840"/>
      <c r="D18" s="841">
        <f>SUM(D5:D17)</f>
        <v>220</v>
      </c>
    </row>
    <row r="19" ht="20" customHeight="1" spans="1:4">
      <c r="A19" s="378"/>
      <c r="B19" s="842"/>
      <c r="C19" s="842"/>
      <c r="D19" s="843"/>
    </row>
    <row r="20" ht="25" customHeight="1" spans="1:4">
      <c r="A20" s="384"/>
      <c r="B20" s="42" t="s">
        <v>897</v>
      </c>
      <c r="C20" s="384"/>
      <c r="D20" s="384"/>
    </row>
    <row r="21" ht="25" customHeight="1" spans="1:4">
      <c r="A21" s="4">
        <v>1</v>
      </c>
      <c r="B21" s="43" t="s">
        <v>898</v>
      </c>
      <c r="C21" s="844" t="s">
        <v>870</v>
      </c>
      <c r="D21" s="49">
        <v>18</v>
      </c>
    </row>
    <row r="22" ht="25" customHeight="1" spans="1:4">
      <c r="A22" s="4">
        <v>2</v>
      </c>
      <c r="B22" s="43" t="s">
        <v>899</v>
      </c>
      <c r="C22" s="844" t="s">
        <v>870</v>
      </c>
      <c r="D22" s="49">
        <v>11</v>
      </c>
    </row>
    <row r="23" ht="25" customHeight="1" spans="1:4">
      <c r="A23" s="4">
        <v>3</v>
      </c>
      <c r="B23" s="43" t="s">
        <v>900</v>
      </c>
      <c r="C23" s="844" t="s">
        <v>870</v>
      </c>
      <c r="D23" s="49">
        <v>15</v>
      </c>
    </row>
    <row r="24" ht="25" customHeight="1" spans="1:4">
      <c r="A24" s="4">
        <v>4</v>
      </c>
      <c r="B24" s="43" t="s">
        <v>901</v>
      </c>
      <c r="C24" s="844" t="s">
        <v>870</v>
      </c>
      <c r="D24" s="49">
        <v>41</v>
      </c>
    </row>
    <row r="25" ht="25" customHeight="1" spans="1:4">
      <c r="A25" s="4">
        <v>5</v>
      </c>
      <c r="B25" s="43" t="s">
        <v>902</v>
      </c>
      <c r="C25" s="844" t="s">
        <v>870</v>
      </c>
      <c r="D25" s="49">
        <v>4</v>
      </c>
    </row>
    <row r="26" ht="25" customHeight="1" spans="1:4">
      <c r="A26" s="4">
        <v>6</v>
      </c>
      <c r="B26" s="43" t="s">
        <v>903</v>
      </c>
      <c r="C26" s="844" t="s">
        <v>870</v>
      </c>
      <c r="D26" s="49">
        <v>5</v>
      </c>
    </row>
    <row r="27" ht="25" customHeight="1" spans="1:4">
      <c r="A27" s="845"/>
      <c r="B27" s="846" t="s">
        <v>904</v>
      </c>
      <c r="C27" s="847"/>
      <c r="D27" s="848">
        <f>SUM(D21:D26)</f>
        <v>94</v>
      </c>
    </row>
    <row r="28" spans="1:4">
      <c r="A28" s="849"/>
      <c r="B28" s="849"/>
      <c r="C28" s="849"/>
      <c r="D28" s="849"/>
    </row>
    <row r="29" ht="32" customHeight="1" spans="1:4">
      <c r="A29" s="850"/>
      <c r="B29" s="851" t="s">
        <v>905</v>
      </c>
      <c r="C29" s="852"/>
      <c r="D29" s="853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99" sqref="F19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21.2090909090909" style="1" customWidth="1"/>
    <col min="4" max="4" width="12.7090909090909" style="1" customWidth="1"/>
    <col min="5" max="10" width="19.2818181818182" style="1" customWidth="1"/>
    <col min="11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</row>
    <row r="2" ht="33.75" customHeight="1" spans="1:10">
      <c r="A2" s="76" t="s">
        <v>906</v>
      </c>
      <c r="B2" s="77"/>
      <c r="C2" s="76"/>
      <c r="D2" s="76"/>
      <c r="E2" s="216"/>
      <c r="F2" s="216"/>
      <c r="G2" s="216"/>
      <c r="H2" s="216"/>
      <c r="I2" s="216"/>
      <c r="J2" s="216"/>
    </row>
    <row r="3" ht="9.75" customHeight="1" spans="5:10">
      <c r="E3" s="217" t="e">
        <f>'[1]FEB 08'!E11/'[1]FEB 08'!M11</f>
        <v>#REF!</v>
      </c>
      <c r="F3" s="217"/>
      <c r="G3" s="217"/>
      <c r="H3" s="217"/>
      <c r="I3" s="217"/>
      <c r="J3" s="217"/>
    </row>
    <row r="4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907</v>
      </c>
      <c r="F4" s="218" t="s">
        <v>908</v>
      </c>
      <c r="G4" s="218" t="s">
        <v>909</v>
      </c>
      <c r="H4" s="218" t="s">
        <v>910</v>
      </c>
      <c r="I4" s="218" t="s">
        <v>911</v>
      </c>
      <c r="J4" s="218" t="s">
        <v>912</v>
      </c>
      <c r="K4" s="827" t="s">
        <v>913</v>
      </c>
    </row>
    <row r="5" ht="17.25" customHeight="1" spans="3:11">
      <c r="C5" s="8"/>
      <c r="D5" s="8"/>
      <c r="E5" s="82" t="s">
        <v>20</v>
      </c>
      <c r="F5" s="82"/>
      <c r="G5" s="82" t="s">
        <v>20</v>
      </c>
      <c r="H5" s="82" t="s">
        <v>20</v>
      </c>
      <c r="I5" s="82" t="s">
        <v>20</v>
      </c>
      <c r="J5" s="82"/>
      <c r="K5" s="827" t="s">
        <v>914</v>
      </c>
    </row>
    <row r="6" customHeight="1" spans="1:11">
      <c r="A6" s="9" t="s">
        <v>21</v>
      </c>
      <c r="B6" s="8" t="s">
        <v>22</v>
      </c>
      <c r="C6" s="8"/>
      <c r="D6" s="8"/>
      <c r="E6" s="82"/>
      <c r="F6" s="82"/>
      <c r="G6" s="820"/>
      <c r="H6" s="82"/>
      <c r="I6" s="21"/>
      <c r="J6" s="21"/>
      <c r="K6" s="827" t="s">
        <v>915</v>
      </c>
    </row>
    <row r="7" customHeight="1" spans="1:11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>
        <v>0</v>
      </c>
      <c r="G7" s="85">
        <v>0</v>
      </c>
      <c r="H7" s="85">
        <v>0</v>
      </c>
      <c r="I7" s="85"/>
      <c r="J7" s="85"/>
      <c r="K7" s="827" t="s">
        <v>916</v>
      </c>
    </row>
    <row r="8" customHeight="1" spans="1:11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>
        <v>0</v>
      </c>
      <c r="G8" s="85">
        <v>0</v>
      </c>
      <c r="H8" s="85">
        <v>0</v>
      </c>
      <c r="I8" s="85"/>
      <c r="J8" s="85"/>
      <c r="K8" s="827" t="s">
        <v>917</v>
      </c>
    </row>
    <row r="9" customHeight="1" spans="1:11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>
        <v>0</v>
      </c>
      <c r="G9" s="85">
        <v>0</v>
      </c>
      <c r="H9" s="85">
        <v>0</v>
      </c>
      <c r="I9" s="85"/>
      <c r="J9" s="85"/>
      <c r="K9" s="828" t="s">
        <v>339</v>
      </c>
    </row>
    <row r="10" customHeight="1" spans="1:11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>
        <v>0</v>
      </c>
      <c r="G10" s="85">
        <v>0</v>
      </c>
      <c r="H10" s="85">
        <v>0</v>
      </c>
      <c r="I10" s="85"/>
      <c r="J10" s="85"/>
      <c r="K10" s="827" t="s">
        <v>918</v>
      </c>
    </row>
    <row r="11" customHeight="1" spans="1:11">
      <c r="A11" s="10">
        <v>6</v>
      </c>
      <c r="B11" s="11" t="s">
        <v>33</v>
      </c>
      <c r="C11" s="12" t="s">
        <v>835</v>
      </c>
      <c r="D11" s="15" t="s">
        <v>38</v>
      </c>
      <c r="E11" s="85">
        <v>620675.583333333</v>
      </c>
      <c r="F11" s="85">
        <v>0</v>
      </c>
      <c r="G11" s="85">
        <v>0</v>
      </c>
      <c r="H11" s="85">
        <v>0</v>
      </c>
      <c r="I11" s="85"/>
      <c r="J11" s="85"/>
      <c r="K11" s="827" t="s">
        <v>919</v>
      </c>
    </row>
    <row r="12" customHeight="1" spans="1:11">
      <c r="A12" s="10">
        <v>7</v>
      </c>
      <c r="B12" s="11" t="s">
        <v>36</v>
      </c>
      <c r="C12" s="4" t="s">
        <v>37</v>
      </c>
      <c r="D12" s="10" t="s">
        <v>41</v>
      </c>
      <c r="E12" s="85">
        <v>582118.083333333</v>
      </c>
      <c r="F12" s="10" t="s">
        <v>49</v>
      </c>
      <c r="G12" s="821">
        <v>601396.833333333</v>
      </c>
      <c r="H12" s="85">
        <f t="shared" ref="H7:H38" si="0">G12-E12</f>
        <v>19278.75</v>
      </c>
      <c r="I12" s="85">
        <f>H12*4</f>
        <v>77115</v>
      </c>
      <c r="J12" s="85"/>
      <c r="K12" s="829" t="s">
        <v>920</v>
      </c>
    </row>
    <row r="13" customHeight="1" spans="1:11">
      <c r="A13" s="10">
        <v>8</v>
      </c>
      <c r="B13" s="11" t="s">
        <v>39</v>
      </c>
      <c r="C13" s="4" t="s">
        <v>547</v>
      </c>
      <c r="D13" s="15" t="s">
        <v>189</v>
      </c>
      <c r="E13" s="85">
        <v>484373.75</v>
      </c>
      <c r="F13" s="85">
        <v>0</v>
      </c>
      <c r="G13" s="85">
        <v>0</v>
      </c>
      <c r="H13" s="85">
        <v>0</v>
      </c>
      <c r="I13" s="85">
        <f t="shared" ref="I13:I37" si="1">H13*4</f>
        <v>0</v>
      </c>
      <c r="J13" s="85"/>
      <c r="K13" s="827" t="s">
        <v>921</v>
      </c>
    </row>
    <row r="14" customHeight="1" spans="1:11">
      <c r="A14" s="10">
        <v>9</v>
      </c>
      <c r="B14" s="14" t="s">
        <v>42</v>
      </c>
      <c r="C14" s="17" t="s">
        <v>43</v>
      </c>
      <c r="D14" s="15" t="s">
        <v>41</v>
      </c>
      <c r="E14" s="85">
        <v>582118.083333333</v>
      </c>
      <c r="F14" s="10" t="s">
        <v>49</v>
      </c>
      <c r="G14" s="821">
        <v>601396.833333333</v>
      </c>
      <c r="H14" s="85">
        <f t="shared" si="0"/>
        <v>19278.75</v>
      </c>
      <c r="I14" s="85">
        <f t="shared" si="1"/>
        <v>77115</v>
      </c>
      <c r="J14" s="85"/>
      <c r="K14" s="827" t="s">
        <v>922</v>
      </c>
    </row>
    <row r="15" customHeight="1" spans="1:11">
      <c r="A15" s="10">
        <v>10</v>
      </c>
      <c r="B15" s="11" t="s">
        <v>44</v>
      </c>
      <c r="C15" s="4" t="s">
        <v>45</v>
      </c>
      <c r="D15" s="10" t="s">
        <v>52</v>
      </c>
      <c r="E15" s="85">
        <v>442746.5</v>
      </c>
      <c r="F15" s="10" t="s">
        <v>212</v>
      </c>
      <c r="G15" s="822">
        <v>456622.25</v>
      </c>
      <c r="H15" s="85">
        <f t="shared" si="0"/>
        <v>13875.75</v>
      </c>
      <c r="I15" s="85">
        <f t="shared" si="1"/>
        <v>55503</v>
      </c>
      <c r="J15" s="85"/>
      <c r="K15" s="827" t="s">
        <v>308</v>
      </c>
    </row>
    <row r="16" customHeight="1" spans="1:11">
      <c r="A16" s="10">
        <v>11</v>
      </c>
      <c r="B16" s="11" t="s">
        <v>47</v>
      </c>
      <c r="C16" s="4" t="s">
        <v>48</v>
      </c>
      <c r="D16" s="10" t="s">
        <v>41</v>
      </c>
      <c r="E16" s="85">
        <v>582118.083333333</v>
      </c>
      <c r="F16" s="85">
        <v>0</v>
      </c>
      <c r="G16" s="85">
        <v>0</v>
      </c>
      <c r="H16" s="85">
        <v>0</v>
      </c>
      <c r="I16" s="85">
        <f t="shared" si="1"/>
        <v>0</v>
      </c>
      <c r="J16" s="85"/>
      <c r="K16" s="827" t="s">
        <v>923</v>
      </c>
    </row>
    <row r="17" customHeight="1" spans="1:11">
      <c r="A17" s="10">
        <v>12</v>
      </c>
      <c r="B17" s="11" t="s">
        <v>50</v>
      </c>
      <c r="C17" s="12" t="s">
        <v>60</v>
      </c>
      <c r="D17" s="15" t="s">
        <v>502</v>
      </c>
      <c r="E17" s="85">
        <v>428915.916666667</v>
      </c>
      <c r="F17" s="15" t="s">
        <v>55</v>
      </c>
      <c r="G17" s="821">
        <v>441804.916666667</v>
      </c>
      <c r="H17" s="85">
        <f t="shared" si="0"/>
        <v>12889</v>
      </c>
      <c r="I17" s="85">
        <f t="shared" si="1"/>
        <v>51556</v>
      </c>
      <c r="J17" s="85"/>
      <c r="K17" s="828" t="s">
        <v>924</v>
      </c>
    </row>
    <row r="18" customHeight="1" spans="1:11">
      <c r="A18" s="10">
        <v>13</v>
      </c>
      <c r="B18" s="18" t="s">
        <v>53</v>
      </c>
      <c r="C18" s="4" t="s">
        <v>54</v>
      </c>
      <c r="D18" s="15" t="s">
        <v>58</v>
      </c>
      <c r="E18" s="85">
        <v>416026.916666667</v>
      </c>
      <c r="F18" s="15" t="s">
        <v>548</v>
      </c>
      <c r="G18" s="822">
        <v>428915.916666667</v>
      </c>
      <c r="H18" s="85">
        <f t="shared" si="0"/>
        <v>12889</v>
      </c>
      <c r="I18" s="85">
        <f t="shared" si="1"/>
        <v>51556</v>
      </c>
      <c r="J18" s="85"/>
      <c r="K18" s="828" t="s">
        <v>925</v>
      </c>
    </row>
    <row r="19" customHeight="1" spans="1:11">
      <c r="A19" s="10">
        <v>14</v>
      </c>
      <c r="B19" s="18" t="s">
        <v>56</v>
      </c>
      <c r="C19" s="4" t="s">
        <v>57</v>
      </c>
      <c r="D19" s="15" t="s">
        <v>926</v>
      </c>
      <c r="E19" s="676">
        <f>'[3]Annual &amp; Monthly'!$H$40</f>
        <v>390248.916666667</v>
      </c>
      <c r="F19" s="15" t="s">
        <v>503</v>
      </c>
      <c r="G19" s="823">
        <v>403138</v>
      </c>
      <c r="H19" s="85">
        <f t="shared" si="0"/>
        <v>12889.083333333</v>
      </c>
      <c r="I19" s="85">
        <f t="shared" si="1"/>
        <v>51556.3333333321</v>
      </c>
      <c r="J19" s="85"/>
      <c r="K19" s="827" t="s">
        <v>927</v>
      </c>
    </row>
    <row r="20" customHeight="1" spans="1:11">
      <c r="A20" s="10">
        <v>15</v>
      </c>
      <c r="B20" s="18" t="s">
        <v>59</v>
      </c>
      <c r="C20" s="4" t="s">
        <v>60</v>
      </c>
      <c r="D20" s="15" t="s">
        <v>926</v>
      </c>
      <c r="E20" s="676">
        <v>390248.916666667</v>
      </c>
      <c r="F20" s="15" t="s">
        <v>503</v>
      </c>
      <c r="G20" s="823">
        <v>403138</v>
      </c>
      <c r="H20" s="85">
        <f t="shared" si="0"/>
        <v>12889.083333333</v>
      </c>
      <c r="I20" s="85">
        <f t="shared" si="1"/>
        <v>51556.3333333321</v>
      </c>
      <c r="J20" s="85"/>
      <c r="K20" s="827" t="s">
        <v>928</v>
      </c>
    </row>
    <row r="21" customHeight="1" spans="1:11">
      <c r="A21" s="27">
        <v>11</v>
      </c>
      <c r="B21" s="11" t="s">
        <v>61</v>
      </c>
      <c r="C21" s="12" t="s">
        <v>549</v>
      </c>
      <c r="D21" s="15" t="s">
        <v>170</v>
      </c>
      <c r="E21" s="85">
        <v>390086.5</v>
      </c>
      <c r="F21" s="15" t="s">
        <v>259</v>
      </c>
      <c r="G21" s="822">
        <v>402278</v>
      </c>
      <c r="H21" s="85">
        <f t="shared" si="0"/>
        <v>12191.5</v>
      </c>
      <c r="I21" s="85">
        <f t="shared" si="1"/>
        <v>48766</v>
      </c>
      <c r="J21" s="85"/>
      <c r="K21" s="827" t="s">
        <v>190</v>
      </c>
    </row>
    <row r="22" ht="18.75" customHeight="1" spans="1:10">
      <c r="A22" s="10">
        <v>16</v>
      </c>
      <c r="B22" s="11" t="s">
        <v>64</v>
      </c>
      <c r="C22" s="12" t="s">
        <v>176</v>
      </c>
      <c r="D22" s="15" t="s">
        <v>69</v>
      </c>
      <c r="E22" s="85">
        <v>377895.166666667</v>
      </c>
      <c r="F22" s="15" t="s">
        <v>170</v>
      </c>
      <c r="G22" s="822">
        <v>390086.5</v>
      </c>
      <c r="H22" s="85">
        <f t="shared" si="0"/>
        <v>12191.333333333</v>
      </c>
      <c r="I22" s="85">
        <f t="shared" si="1"/>
        <v>48765.3333333321</v>
      </c>
      <c r="J22" s="85"/>
    </row>
    <row r="23" customHeight="1" spans="1:10">
      <c r="A23" s="10">
        <v>17</v>
      </c>
      <c r="B23" s="14" t="s">
        <v>67</v>
      </c>
      <c r="C23" s="17" t="s">
        <v>68</v>
      </c>
      <c r="D23" s="10" t="s">
        <v>504</v>
      </c>
      <c r="E23" s="85">
        <v>353512.5</v>
      </c>
      <c r="F23" s="10" t="s">
        <v>131</v>
      </c>
      <c r="G23" s="822">
        <v>365704</v>
      </c>
      <c r="H23" s="85">
        <f t="shared" si="0"/>
        <v>12191.5</v>
      </c>
      <c r="I23" s="85">
        <f t="shared" si="1"/>
        <v>48766</v>
      </c>
      <c r="J23" s="85"/>
    </row>
    <row r="24" ht="21.6" customHeight="1" spans="1:10">
      <c r="A24" s="10">
        <v>18</v>
      </c>
      <c r="B24" s="11" t="s">
        <v>70</v>
      </c>
      <c r="C24" s="17" t="s">
        <v>71</v>
      </c>
      <c r="D24" s="15" t="s">
        <v>504</v>
      </c>
      <c r="E24" s="85">
        <v>353512.5</v>
      </c>
      <c r="F24" s="15" t="s">
        <v>131</v>
      </c>
      <c r="G24" s="822">
        <v>365704</v>
      </c>
      <c r="H24" s="85">
        <f t="shared" si="0"/>
        <v>12191.5</v>
      </c>
      <c r="I24" s="85">
        <f t="shared" si="1"/>
        <v>48766</v>
      </c>
      <c r="J24" s="85"/>
    </row>
    <row r="25" customHeight="1" spans="1:10">
      <c r="A25" s="10">
        <v>19</v>
      </c>
      <c r="B25" s="14" t="s">
        <v>72</v>
      </c>
      <c r="C25" s="17" t="s">
        <v>73</v>
      </c>
      <c r="D25" s="10" t="s">
        <v>80</v>
      </c>
      <c r="E25" s="85">
        <v>293029.666666667</v>
      </c>
      <c r="F25" s="10"/>
      <c r="G25" s="10"/>
      <c r="H25" s="10"/>
      <c r="I25" s="10"/>
      <c r="J25" s="85"/>
    </row>
    <row r="26" customHeight="1" spans="1:10">
      <c r="A26" s="10">
        <v>20</v>
      </c>
      <c r="B26" s="14" t="s">
        <v>75</v>
      </c>
      <c r="C26" s="17" t="s">
        <v>76</v>
      </c>
      <c r="D26" s="10" t="s">
        <v>80</v>
      </c>
      <c r="E26" s="85">
        <v>293029.666666667</v>
      </c>
      <c r="F26" s="10" t="s">
        <v>74</v>
      </c>
      <c r="G26" s="822">
        <v>300965.583333333</v>
      </c>
      <c r="H26" s="85">
        <f t="shared" si="0"/>
        <v>7935.91666666605</v>
      </c>
      <c r="I26" s="85">
        <f t="shared" si="1"/>
        <v>31743.6666666642</v>
      </c>
      <c r="J26" s="85"/>
    </row>
    <row r="27" ht="18.75" customHeight="1" spans="1:10">
      <c r="A27" s="10">
        <v>21</v>
      </c>
      <c r="B27" s="4" t="s">
        <v>485</v>
      </c>
      <c r="C27" s="4" t="s">
        <v>94</v>
      </c>
      <c r="D27" s="10" t="s">
        <v>88</v>
      </c>
      <c r="E27" s="85">
        <v>270481.666666667</v>
      </c>
      <c r="F27" s="10" t="s">
        <v>85</v>
      </c>
      <c r="G27" s="821">
        <v>277798</v>
      </c>
      <c r="H27" s="85">
        <f t="shared" si="0"/>
        <v>7316.33333333302</v>
      </c>
      <c r="I27" s="85">
        <f t="shared" si="1"/>
        <v>29265.3333333321</v>
      </c>
      <c r="J27" s="85"/>
    </row>
    <row r="28" ht="18.75" customHeight="1" spans="1:10">
      <c r="A28" s="10">
        <v>22</v>
      </c>
      <c r="B28" s="18" t="s">
        <v>78</v>
      </c>
      <c r="C28" s="12" t="s">
        <v>94</v>
      </c>
      <c r="D28" s="15" t="s">
        <v>88</v>
      </c>
      <c r="E28" s="85">
        <v>270481.666666667</v>
      </c>
      <c r="F28" s="15" t="s">
        <v>85</v>
      </c>
      <c r="G28" s="821">
        <v>277798</v>
      </c>
      <c r="H28" s="85">
        <f t="shared" si="0"/>
        <v>7316.33333333302</v>
      </c>
      <c r="I28" s="85">
        <f t="shared" si="1"/>
        <v>29265.3333333321</v>
      </c>
      <c r="J28" s="85"/>
    </row>
    <row r="29" customHeight="1" spans="1:10">
      <c r="A29" s="10">
        <v>23</v>
      </c>
      <c r="B29" s="11" t="s">
        <v>81</v>
      </c>
      <c r="C29" s="17" t="s">
        <v>68</v>
      </c>
      <c r="D29" s="10" t="s">
        <v>88</v>
      </c>
      <c r="E29" s="85">
        <v>270481.666666667</v>
      </c>
      <c r="F29" s="10" t="s">
        <v>85</v>
      </c>
      <c r="G29" s="821">
        <v>277798</v>
      </c>
      <c r="H29" s="85">
        <f t="shared" si="0"/>
        <v>7316.33333333302</v>
      </c>
      <c r="I29" s="85">
        <f t="shared" si="1"/>
        <v>29265.3333333321</v>
      </c>
      <c r="J29" s="85"/>
    </row>
    <row r="30" ht="18.75" customHeight="1" spans="1:10">
      <c r="A30" s="10">
        <v>24</v>
      </c>
      <c r="B30" s="18" t="s">
        <v>83</v>
      </c>
      <c r="C30" s="12" t="s">
        <v>84</v>
      </c>
      <c r="D30" s="15" t="s">
        <v>99</v>
      </c>
      <c r="E30" s="85">
        <v>263165.333333333</v>
      </c>
      <c r="F30" s="15" t="s">
        <v>88</v>
      </c>
      <c r="G30" s="822">
        <v>270481.666666667</v>
      </c>
      <c r="H30" s="85">
        <f t="shared" si="0"/>
        <v>7316.33333333395</v>
      </c>
      <c r="I30" s="85">
        <f t="shared" si="1"/>
        <v>29265.3333333358</v>
      </c>
      <c r="J30" s="85"/>
    </row>
    <row r="31" ht="18.75" customHeight="1" spans="1:10">
      <c r="A31" s="10">
        <v>25</v>
      </c>
      <c r="B31" s="18" t="s">
        <v>86</v>
      </c>
      <c r="C31" s="4" t="s">
        <v>87</v>
      </c>
      <c r="D31" s="10" t="s">
        <v>344</v>
      </c>
      <c r="E31" s="85">
        <v>255849</v>
      </c>
      <c r="F31" s="10" t="s">
        <v>99</v>
      </c>
      <c r="G31" s="822">
        <v>263165.333333333</v>
      </c>
      <c r="H31" s="85">
        <f t="shared" si="0"/>
        <v>7316.33333333302</v>
      </c>
      <c r="I31" s="85">
        <f t="shared" si="1"/>
        <v>29265.3333333321</v>
      </c>
      <c r="J31" s="85"/>
    </row>
    <row r="32" ht="18.75" customHeight="1" spans="1:10">
      <c r="A32" s="10">
        <v>26</v>
      </c>
      <c r="B32" s="18" t="s">
        <v>89</v>
      </c>
      <c r="C32" s="4" t="s">
        <v>87</v>
      </c>
      <c r="D32" s="10" t="s">
        <v>344</v>
      </c>
      <c r="E32" s="85">
        <v>255849</v>
      </c>
      <c r="F32" s="10" t="s">
        <v>99</v>
      </c>
      <c r="G32" s="822">
        <v>263165.333333333</v>
      </c>
      <c r="H32" s="85">
        <f t="shared" si="0"/>
        <v>7316.33333333302</v>
      </c>
      <c r="I32" s="85">
        <f t="shared" si="1"/>
        <v>29265.3333333321</v>
      </c>
      <c r="J32" s="85"/>
    </row>
    <row r="33" ht="18.75" customHeight="1" spans="1:10">
      <c r="A33" s="10">
        <v>27</v>
      </c>
      <c r="B33" s="18" t="s">
        <v>91</v>
      </c>
      <c r="C33" s="17" t="s">
        <v>550</v>
      </c>
      <c r="D33" s="15" t="s">
        <v>88</v>
      </c>
      <c r="E33" s="85">
        <v>270481.666666667</v>
      </c>
      <c r="F33" s="15" t="s">
        <v>85</v>
      </c>
      <c r="G33" s="821">
        <v>277798</v>
      </c>
      <c r="H33" s="85">
        <f t="shared" si="0"/>
        <v>7316.33333333302</v>
      </c>
      <c r="I33" s="85">
        <f t="shared" si="1"/>
        <v>29265.3333333321</v>
      </c>
      <c r="J33" s="85"/>
    </row>
    <row r="34" ht="18.75" customHeight="1" spans="1:10">
      <c r="A34" s="10">
        <v>28</v>
      </c>
      <c r="B34" s="18" t="s">
        <v>93</v>
      </c>
      <c r="C34" s="4" t="s">
        <v>94</v>
      </c>
      <c r="D34" s="10" t="s">
        <v>344</v>
      </c>
      <c r="E34" s="85">
        <v>255849</v>
      </c>
      <c r="F34" s="10" t="s">
        <v>99</v>
      </c>
      <c r="G34" s="822">
        <v>263165.333333333</v>
      </c>
      <c r="H34" s="85">
        <f t="shared" si="0"/>
        <v>7316.33333333302</v>
      </c>
      <c r="I34" s="85">
        <f t="shared" si="1"/>
        <v>29265.3333333321</v>
      </c>
      <c r="J34" s="85"/>
    </row>
    <row r="35" ht="18.75" customHeight="1" spans="1:10">
      <c r="A35" s="10">
        <v>29</v>
      </c>
      <c r="B35" s="18" t="s">
        <v>95</v>
      </c>
      <c r="C35" s="4" t="s">
        <v>551</v>
      </c>
      <c r="D35" s="10" t="s">
        <v>344</v>
      </c>
      <c r="E35" s="85">
        <v>255849</v>
      </c>
      <c r="F35" s="10" t="s">
        <v>99</v>
      </c>
      <c r="G35" s="822">
        <v>263165.333333333</v>
      </c>
      <c r="H35" s="85">
        <f t="shared" si="0"/>
        <v>7316.33333333302</v>
      </c>
      <c r="I35" s="85">
        <f t="shared" si="1"/>
        <v>29265.3333333321</v>
      </c>
      <c r="J35" s="85"/>
    </row>
    <row r="36" ht="18.75" customHeight="1" spans="1:10">
      <c r="A36" s="10">
        <v>30</v>
      </c>
      <c r="B36" s="18" t="s">
        <v>103</v>
      </c>
      <c r="C36" s="12" t="s">
        <v>104</v>
      </c>
      <c r="D36" s="15" t="s">
        <v>111</v>
      </c>
      <c r="E36" s="85">
        <v>224459.75</v>
      </c>
      <c r="F36" s="15" t="s">
        <v>108</v>
      </c>
      <c r="G36" s="821">
        <v>230631.916666667</v>
      </c>
      <c r="H36" s="85">
        <f t="shared" si="0"/>
        <v>6172.16666666701</v>
      </c>
      <c r="I36" s="85">
        <f t="shared" si="1"/>
        <v>24688.666666668</v>
      </c>
      <c r="J36" s="85"/>
    </row>
    <row r="37" ht="18.75" customHeight="1" spans="1:10">
      <c r="A37" s="10">
        <v>31</v>
      </c>
      <c r="B37" s="18" t="s">
        <v>106</v>
      </c>
      <c r="C37" s="12" t="s">
        <v>107</v>
      </c>
      <c r="D37" s="15" t="s">
        <v>276</v>
      </c>
      <c r="E37" s="676">
        <v>218287.583333333</v>
      </c>
      <c r="F37" s="15" t="s">
        <v>111</v>
      </c>
      <c r="G37" s="822">
        <v>224459.75</v>
      </c>
      <c r="H37" s="85">
        <f t="shared" si="0"/>
        <v>6172.16666666701</v>
      </c>
      <c r="I37" s="85">
        <f t="shared" si="1"/>
        <v>24688.666666668</v>
      </c>
      <c r="J37" s="85"/>
    </row>
    <row r="38" ht="26.25" customHeight="1" spans="1:10">
      <c r="A38" s="10"/>
      <c r="B38" s="20" t="s">
        <v>120</v>
      </c>
      <c r="C38" s="21">
        <v>31</v>
      </c>
      <c r="D38" s="15"/>
      <c r="E38" s="221">
        <f>SUM(E7:E37)</f>
        <v>13738762.7503333</v>
      </c>
      <c r="F38" s="221"/>
      <c r="G38" s="221">
        <f>SUM(G7:G37)</f>
        <v>8050577.5</v>
      </c>
      <c r="H38" s="221">
        <f>SUM(H7:H37)</f>
        <v>238882.499999997</v>
      </c>
      <c r="I38" s="221">
        <f>SUM(I7:I37)</f>
        <v>955529.999999989</v>
      </c>
      <c r="J38" s="221"/>
    </row>
    <row r="39" ht="18.75" customHeight="1" spans="1:10">
      <c r="A39" s="10"/>
      <c r="B39" s="22"/>
      <c r="C39" s="4"/>
      <c r="D39" s="15"/>
      <c r="E39" s="221"/>
      <c r="F39" s="221"/>
      <c r="G39" s="824"/>
      <c r="H39" s="85">
        <f t="shared" ref="H39:H70" si="2">G39-E39</f>
        <v>0</v>
      </c>
      <c r="I39" s="221"/>
      <c r="J39" s="221"/>
    </row>
    <row r="40" ht="18.75" customHeight="1" spans="1:10">
      <c r="A40" s="10"/>
      <c r="B40" s="20" t="s">
        <v>121</v>
      </c>
      <c r="C40" s="4"/>
      <c r="D40" s="15"/>
      <c r="E40" s="85"/>
      <c r="F40" s="85"/>
      <c r="G40" s="822"/>
      <c r="H40" s="85">
        <f t="shared" si="2"/>
        <v>0</v>
      </c>
      <c r="I40" s="85"/>
      <c r="J40" s="85"/>
    </row>
    <row r="41" ht="18.75" customHeight="1" spans="1:10">
      <c r="A41" s="10">
        <v>1</v>
      </c>
      <c r="B41" s="18" t="s">
        <v>122</v>
      </c>
      <c r="C41" s="4" t="s">
        <v>123</v>
      </c>
      <c r="D41" s="10" t="s">
        <v>124</v>
      </c>
      <c r="E41" s="85">
        <v>1435720</v>
      </c>
      <c r="F41" s="85">
        <v>0</v>
      </c>
      <c r="G41" s="85">
        <v>0</v>
      </c>
      <c r="H41" s="85">
        <v>0</v>
      </c>
      <c r="I41" s="85"/>
      <c r="J41" s="85"/>
    </row>
    <row r="42" ht="18.75" customHeight="1" spans="1:10">
      <c r="A42" s="10">
        <v>2</v>
      </c>
      <c r="B42" s="18" t="s">
        <v>127</v>
      </c>
      <c r="C42" s="4" t="s">
        <v>128</v>
      </c>
      <c r="D42" s="10" t="s">
        <v>80</v>
      </c>
      <c r="E42" s="85">
        <v>293029.666666667</v>
      </c>
      <c r="F42" s="10" t="s">
        <v>74</v>
      </c>
      <c r="G42" s="822">
        <v>300965.583333333</v>
      </c>
      <c r="H42" s="85">
        <f t="shared" si="2"/>
        <v>7935.91666666605</v>
      </c>
      <c r="I42" s="85">
        <f>H42*4</f>
        <v>31743.6666666642</v>
      </c>
      <c r="J42" s="85"/>
    </row>
    <row r="43" ht="18.75" customHeight="1" spans="1:10">
      <c r="A43" s="10">
        <v>3</v>
      </c>
      <c r="B43" s="11" t="s">
        <v>129</v>
      </c>
      <c r="C43" s="4" t="s">
        <v>128</v>
      </c>
      <c r="D43" s="15" t="s">
        <v>74</v>
      </c>
      <c r="E43" s="85">
        <v>300965.583333333</v>
      </c>
      <c r="F43" s="15" t="s">
        <v>77</v>
      </c>
      <c r="G43" s="822">
        <v>308901.5</v>
      </c>
      <c r="H43" s="85">
        <f t="shared" si="2"/>
        <v>7935.91666666698</v>
      </c>
      <c r="I43" s="85">
        <f>H43*4</f>
        <v>31743.6666666679</v>
      </c>
      <c r="J43" s="85"/>
    </row>
    <row r="44" ht="18.75" customHeight="1" spans="1:10">
      <c r="A44" s="10">
        <v>4</v>
      </c>
      <c r="B44" s="11" t="s">
        <v>133</v>
      </c>
      <c r="C44" s="4" t="s">
        <v>134</v>
      </c>
      <c r="D44" s="15" t="s">
        <v>344</v>
      </c>
      <c r="E44" s="676">
        <f>'[3]Annual &amp; Monthly'!$H$37</f>
        <v>255849</v>
      </c>
      <c r="F44" s="15" t="s">
        <v>99</v>
      </c>
      <c r="G44" s="823">
        <v>263165.333333333</v>
      </c>
      <c r="H44" s="85">
        <f t="shared" si="2"/>
        <v>7316.33333333302</v>
      </c>
      <c r="I44" s="85">
        <f>H44*4</f>
        <v>29265.3333333321</v>
      </c>
      <c r="J44" s="85"/>
    </row>
    <row r="45" ht="19.5" customHeight="1" spans="1:10">
      <c r="A45" s="10"/>
      <c r="B45" s="14"/>
      <c r="C45" s="21">
        <v>4</v>
      </c>
      <c r="D45" s="10"/>
      <c r="E45" s="221">
        <f>SUM(E41:E44)</f>
        <v>2285564.25</v>
      </c>
      <c r="F45" s="221"/>
      <c r="G45" s="221">
        <f>SUM(G41:G44)</f>
        <v>873032.416666666</v>
      </c>
      <c r="H45" s="221">
        <f>SUM(H41:H44)</f>
        <v>23188.166666666</v>
      </c>
      <c r="I45" s="221">
        <f>SUM(I41:I44)</f>
        <v>92752.6666666642</v>
      </c>
      <c r="J45" s="221"/>
    </row>
    <row r="46" customHeight="1" spans="1:10">
      <c r="A46" s="10"/>
      <c r="B46" s="14"/>
      <c r="C46" s="4"/>
      <c r="D46" s="10"/>
      <c r="E46" s="221"/>
      <c r="F46" s="221"/>
      <c r="G46" s="824"/>
      <c r="H46" s="85">
        <f t="shared" si="2"/>
        <v>0</v>
      </c>
      <c r="I46" s="221"/>
      <c r="J46" s="221"/>
    </row>
    <row r="47" customHeight="1" spans="1:10">
      <c r="A47" s="10"/>
      <c r="B47" s="23" t="s">
        <v>137</v>
      </c>
      <c r="C47" s="5"/>
      <c r="D47" s="24"/>
      <c r="E47" s="221"/>
      <c r="F47" s="221"/>
      <c r="G47" s="824"/>
      <c r="H47" s="85">
        <f t="shared" si="2"/>
        <v>0</v>
      </c>
      <c r="I47" s="221"/>
      <c r="J47" s="221"/>
    </row>
    <row r="48" customHeight="1" spans="1:10">
      <c r="A48" s="10">
        <v>2</v>
      </c>
      <c r="B48" s="11" t="s">
        <v>138</v>
      </c>
      <c r="C48" s="4" t="s">
        <v>552</v>
      </c>
      <c r="D48" s="10" t="s">
        <v>207</v>
      </c>
      <c r="E48" s="85">
        <v>739203.583333333</v>
      </c>
      <c r="F48" s="10" t="s">
        <v>35</v>
      </c>
      <c r="G48" s="822">
        <v>762373.166666667</v>
      </c>
      <c r="H48" s="85">
        <f t="shared" si="2"/>
        <v>23169.583333334</v>
      </c>
      <c r="I48" s="85">
        <f>H48*4</f>
        <v>92678.3333333358</v>
      </c>
      <c r="J48" s="85"/>
    </row>
    <row r="49" customHeight="1" spans="1:10">
      <c r="A49" s="10">
        <v>3</v>
      </c>
      <c r="B49" s="11" t="s">
        <v>141</v>
      </c>
      <c r="C49" s="4" t="s">
        <v>142</v>
      </c>
      <c r="D49" s="10" t="s">
        <v>38</v>
      </c>
      <c r="E49" s="85">
        <v>620675.583333333</v>
      </c>
      <c r="F49" s="85">
        <v>0</v>
      </c>
      <c r="G49" s="85">
        <v>0</v>
      </c>
      <c r="H49" s="85">
        <v>0</v>
      </c>
      <c r="I49" s="85">
        <f t="shared" ref="I49:I55" si="3">H49*4</f>
        <v>0</v>
      </c>
      <c r="J49" s="85"/>
    </row>
    <row r="50" customHeight="1" spans="1:10">
      <c r="A50" s="10">
        <v>4</v>
      </c>
      <c r="B50" s="11" t="s">
        <v>143</v>
      </c>
      <c r="C50" s="4" t="s">
        <v>142</v>
      </c>
      <c r="D50" s="10" t="s">
        <v>38</v>
      </c>
      <c r="E50" s="85">
        <v>620675.583333333</v>
      </c>
      <c r="F50" s="85">
        <v>0</v>
      </c>
      <c r="G50" s="85">
        <v>0</v>
      </c>
      <c r="H50" s="85">
        <v>0</v>
      </c>
      <c r="I50" s="85">
        <f t="shared" si="3"/>
        <v>0</v>
      </c>
      <c r="J50" s="85"/>
    </row>
    <row r="51" customHeight="1" spans="1:10">
      <c r="A51" s="10">
        <v>5</v>
      </c>
      <c r="B51" s="11" t="s">
        <v>144</v>
      </c>
      <c r="C51" s="4" t="s">
        <v>142</v>
      </c>
      <c r="D51" s="10" t="s">
        <v>41</v>
      </c>
      <c r="E51" s="85">
        <v>582118.083333333</v>
      </c>
      <c r="F51" s="10" t="s">
        <v>49</v>
      </c>
      <c r="G51" s="822">
        <v>601396.833333333</v>
      </c>
      <c r="H51" s="85">
        <f t="shared" si="2"/>
        <v>19278.75</v>
      </c>
      <c r="I51" s="85">
        <f t="shared" si="3"/>
        <v>77115</v>
      </c>
      <c r="J51" s="85"/>
    </row>
    <row r="52" customHeight="1" spans="1:10">
      <c r="A52" s="10">
        <v>6</v>
      </c>
      <c r="B52" s="14" t="s">
        <v>145</v>
      </c>
      <c r="C52" s="4" t="s">
        <v>142</v>
      </c>
      <c r="D52" s="10" t="s">
        <v>41</v>
      </c>
      <c r="E52" s="85">
        <v>582118.083333333</v>
      </c>
      <c r="F52" s="85">
        <v>0</v>
      </c>
      <c r="G52" s="85">
        <v>0</v>
      </c>
      <c r="H52" s="85">
        <v>0</v>
      </c>
      <c r="I52" s="85">
        <f t="shared" si="3"/>
        <v>0</v>
      </c>
      <c r="J52" s="85" t="s">
        <v>929</v>
      </c>
    </row>
    <row r="53" customHeight="1" spans="1:10">
      <c r="A53" s="10">
        <v>7</v>
      </c>
      <c r="B53" s="11" t="s">
        <v>149</v>
      </c>
      <c r="C53" s="4" t="s">
        <v>150</v>
      </c>
      <c r="D53" s="10" t="s">
        <v>74</v>
      </c>
      <c r="E53" s="85">
        <v>300965.583333333</v>
      </c>
      <c r="F53" s="10" t="s">
        <v>77</v>
      </c>
      <c r="G53" s="822">
        <v>308901.5</v>
      </c>
      <c r="H53" s="85">
        <f t="shared" si="2"/>
        <v>7935.91666666698</v>
      </c>
      <c r="I53" s="85">
        <f t="shared" si="3"/>
        <v>31743.6666666679</v>
      </c>
      <c r="J53" s="85"/>
    </row>
    <row r="54" customHeight="1" spans="1:10">
      <c r="A54" s="10">
        <v>8</v>
      </c>
      <c r="B54" s="11" t="s">
        <v>153</v>
      </c>
      <c r="C54" s="4" t="s">
        <v>150</v>
      </c>
      <c r="D54" s="10" t="s">
        <v>99</v>
      </c>
      <c r="E54" s="85">
        <v>263165.333333333</v>
      </c>
      <c r="F54" s="10" t="s">
        <v>88</v>
      </c>
      <c r="G54" s="822">
        <v>270481.666666667</v>
      </c>
      <c r="H54" s="85">
        <f t="shared" si="2"/>
        <v>7316.33333333395</v>
      </c>
      <c r="I54" s="85">
        <f t="shared" si="3"/>
        <v>29265.3333333358</v>
      </c>
      <c r="J54" s="85"/>
    </row>
    <row r="55" customHeight="1" spans="1:10">
      <c r="A55" s="10">
        <v>9</v>
      </c>
      <c r="B55" s="11" t="s">
        <v>154</v>
      </c>
      <c r="C55" s="4" t="s">
        <v>150</v>
      </c>
      <c r="D55" s="10" t="s">
        <v>99</v>
      </c>
      <c r="E55" s="85">
        <v>263165.333333333</v>
      </c>
      <c r="F55" s="10" t="s">
        <v>88</v>
      </c>
      <c r="G55" s="822">
        <v>270481.666666667</v>
      </c>
      <c r="H55" s="85">
        <f t="shared" si="2"/>
        <v>7316.33333333395</v>
      </c>
      <c r="I55" s="85">
        <f t="shared" si="3"/>
        <v>29265.3333333358</v>
      </c>
      <c r="J55" s="85"/>
    </row>
    <row r="56" ht="25.5" customHeight="1" spans="1:10">
      <c r="A56" s="10"/>
      <c r="B56" s="20" t="s">
        <v>120</v>
      </c>
      <c r="C56" s="21">
        <v>9</v>
      </c>
      <c r="D56" s="21"/>
      <c r="E56" s="93">
        <f>SUM(E48:E55)</f>
        <v>3972087.16666666</v>
      </c>
      <c r="F56" s="93"/>
      <c r="G56" s="93">
        <f>SUM(G48:G55)</f>
        <v>2213634.83333333</v>
      </c>
      <c r="H56" s="93">
        <f>SUM(H48:H55)</f>
        <v>65016.9166666688</v>
      </c>
      <c r="I56" s="93">
        <f>SUM(I48:I55)</f>
        <v>260067.666666675</v>
      </c>
      <c r="J56" s="93"/>
    </row>
    <row r="57" customHeight="1" spans="1:10">
      <c r="A57" s="10"/>
      <c r="B57" s="22"/>
      <c r="C57" s="21"/>
      <c r="D57" s="21"/>
      <c r="E57" s="146"/>
      <c r="F57" s="21"/>
      <c r="G57" s="825"/>
      <c r="H57" s="85"/>
      <c r="I57" s="146"/>
      <c r="J57" s="146"/>
    </row>
    <row r="58" customHeight="1" spans="1:10">
      <c r="A58" s="10"/>
      <c r="B58" s="20" t="s">
        <v>156</v>
      </c>
      <c r="C58" s="21"/>
      <c r="D58" s="21"/>
      <c r="E58" s="146"/>
      <c r="F58" s="21"/>
      <c r="G58" s="825"/>
      <c r="H58" s="85"/>
      <c r="I58" s="146"/>
      <c r="J58" s="146"/>
    </row>
    <row r="59" customHeight="1" spans="1:10">
      <c r="A59" s="10">
        <v>1</v>
      </c>
      <c r="B59" s="11" t="s">
        <v>157</v>
      </c>
      <c r="C59" s="12" t="s">
        <v>158</v>
      </c>
      <c r="D59" s="15" t="s">
        <v>124</v>
      </c>
      <c r="E59" s="85">
        <v>1435720</v>
      </c>
      <c r="F59" s="85">
        <v>0</v>
      </c>
      <c r="G59" s="85">
        <v>0</v>
      </c>
      <c r="H59" s="85">
        <v>0</v>
      </c>
      <c r="I59" s="85">
        <v>0</v>
      </c>
      <c r="J59" s="85"/>
    </row>
    <row r="60" customHeight="1" spans="1:10">
      <c r="A60" s="10">
        <v>2</v>
      </c>
      <c r="B60" s="11" t="s">
        <v>159</v>
      </c>
      <c r="C60" s="12" t="s">
        <v>160</v>
      </c>
      <c r="D60" s="15" t="s">
        <v>161</v>
      </c>
      <c r="E60" s="85">
        <v>620675.583333333</v>
      </c>
      <c r="F60" s="85">
        <v>0</v>
      </c>
      <c r="G60" s="85">
        <v>0</v>
      </c>
      <c r="H60" s="85">
        <v>0</v>
      </c>
      <c r="I60" s="85">
        <v>0</v>
      </c>
      <c r="J60" s="85"/>
    </row>
    <row r="61" customHeight="1" spans="1:10">
      <c r="A61" s="10"/>
      <c r="B61" s="20" t="s">
        <v>120</v>
      </c>
      <c r="C61" s="21">
        <v>2</v>
      </c>
      <c r="D61" s="21"/>
      <c r="E61" s="93">
        <f>SUM(E59:E60)</f>
        <v>2056395.58333333</v>
      </c>
      <c r="F61" s="21"/>
      <c r="G61" s="826"/>
      <c r="H61" s="85"/>
      <c r="I61" s="93">
        <f>SUM(I59:I60)</f>
        <v>0</v>
      </c>
      <c r="J61" s="93"/>
    </row>
    <row r="62" customHeight="1" spans="1:10">
      <c r="A62" s="10"/>
      <c r="B62" s="20"/>
      <c r="C62" s="21"/>
      <c r="D62" s="21"/>
      <c r="E62" s="146"/>
      <c r="F62" s="21"/>
      <c r="G62" s="825"/>
      <c r="H62" s="85"/>
      <c r="I62" s="146"/>
      <c r="J62" s="146"/>
    </row>
    <row r="63" customHeight="1" spans="1:10">
      <c r="A63" s="10"/>
      <c r="B63" s="20" t="s">
        <v>162</v>
      </c>
      <c r="C63" s="21"/>
      <c r="D63" s="21"/>
      <c r="E63" s="146"/>
      <c r="F63" s="21"/>
      <c r="G63" s="825"/>
      <c r="H63" s="85"/>
      <c r="I63" s="146"/>
      <c r="J63" s="146"/>
    </row>
    <row r="64" customHeight="1" spans="1:10">
      <c r="A64" s="10">
        <v>1</v>
      </c>
      <c r="B64" s="14" t="s">
        <v>163</v>
      </c>
      <c r="C64" s="4" t="s">
        <v>164</v>
      </c>
      <c r="D64" s="10" t="s">
        <v>35</v>
      </c>
      <c r="E64" s="85">
        <v>762373.166666667</v>
      </c>
      <c r="F64" s="85">
        <v>0</v>
      </c>
      <c r="G64" s="85">
        <v>0</v>
      </c>
      <c r="H64" s="85">
        <v>0</v>
      </c>
      <c r="I64" s="85"/>
      <c r="J64" s="85"/>
    </row>
    <row r="65" customHeight="1" spans="1:10">
      <c r="A65" s="10">
        <v>3</v>
      </c>
      <c r="B65" s="11" t="s">
        <v>165</v>
      </c>
      <c r="C65" s="4" t="s">
        <v>51</v>
      </c>
      <c r="D65" s="10" t="s">
        <v>52</v>
      </c>
      <c r="E65" s="85">
        <v>442746.5</v>
      </c>
      <c r="F65" s="10" t="s">
        <v>212</v>
      </c>
      <c r="G65" s="822">
        <v>456622.25</v>
      </c>
      <c r="H65" s="85">
        <f t="shared" si="2"/>
        <v>13875.75</v>
      </c>
      <c r="I65" s="85">
        <f>H65*4</f>
        <v>55503</v>
      </c>
      <c r="J65" s="85"/>
    </row>
    <row r="66" customHeight="1" spans="1:10">
      <c r="A66" s="10">
        <v>4</v>
      </c>
      <c r="B66" s="11" t="s">
        <v>169</v>
      </c>
      <c r="C66" s="4" t="s">
        <v>150</v>
      </c>
      <c r="D66" s="10" t="s">
        <v>131</v>
      </c>
      <c r="E66" s="85">
        <v>365703.833333333</v>
      </c>
      <c r="F66" s="10" t="s">
        <v>69</v>
      </c>
      <c r="G66" s="822">
        <v>377895.166666667</v>
      </c>
      <c r="H66" s="85">
        <f t="shared" si="2"/>
        <v>12191.333333334</v>
      </c>
      <c r="I66" s="85">
        <f t="shared" ref="I66:I71" si="4">H66*4</f>
        <v>48765.3333333358</v>
      </c>
      <c r="J66" s="85"/>
    </row>
    <row r="67" customHeight="1" spans="1:10">
      <c r="A67" s="10">
        <v>5</v>
      </c>
      <c r="B67" s="11" t="s">
        <v>171</v>
      </c>
      <c r="C67" s="17" t="s">
        <v>71</v>
      </c>
      <c r="D67" s="10" t="s">
        <v>131</v>
      </c>
      <c r="E67" s="85">
        <v>365703.833333333</v>
      </c>
      <c r="F67" s="10" t="s">
        <v>69</v>
      </c>
      <c r="G67" s="822">
        <v>377895.166666667</v>
      </c>
      <c r="H67" s="85">
        <f t="shared" si="2"/>
        <v>12191.333333334</v>
      </c>
      <c r="I67" s="85">
        <f t="shared" si="4"/>
        <v>48765.3333333358</v>
      </c>
      <c r="J67" s="85"/>
    </row>
    <row r="68" customHeight="1" spans="1:10">
      <c r="A68" s="10">
        <v>6</v>
      </c>
      <c r="B68" s="11" t="s">
        <v>172</v>
      </c>
      <c r="C68" s="17" t="s">
        <v>71</v>
      </c>
      <c r="D68" s="10" t="s">
        <v>131</v>
      </c>
      <c r="E68" s="85">
        <v>365703.833333333</v>
      </c>
      <c r="F68" s="10" t="s">
        <v>69</v>
      </c>
      <c r="G68" s="822">
        <v>377895.166666667</v>
      </c>
      <c r="H68" s="85">
        <f t="shared" si="2"/>
        <v>12191.333333334</v>
      </c>
      <c r="I68" s="85">
        <f t="shared" si="4"/>
        <v>48765.3333333358</v>
      </c>
      <c r="J68" s="85"/>
    </row>
    <row r="69" customHeight="1" spans="1:10">
      <c r="A69" s="10">
        <v>7</v>
      </c>
      <c r="B69" s="11" t="s">
        <v>173</v>
      </c>
      <c r="C69" s="4" t="s">
        <v>553</v>
      </c>
      <c r="D69" s="10" t="s">
        <v>69</v>
      </c>
      <c r="E69" s="457">
        <v>377895.166666667</v>
      </c>
      <c r="F69" s="10" t="s">
        <v>170</v>
      </c>
      <c r="G69" s="830">
        <v>390086.5</v>
      </c>
      <c r="H69" s="85">
        <f t="shared" si="2"/>
        <v>12191.333333333</v>
      </c>
      <c r="I69" s="85">
        <f t="shared" si="4"/>
        <v>48765.3333333321</v>
      </c>
      <c r="J69" s="85"/>
    </row>
    <row r="70" ht="21.6" customHeight="1" spans="1:10">
      <c r="A70" s="10">
        <v>8</v>
      </c>
      <c r="B70" s="11" t="s">
        <v>177</v>
      </c>
      <c r="C70" s="4" t="s">
        <v>150</v>
      </c>
      <c r="D70" s="10" t="s">
        <v>74</v>
      </c>
      <c r="E70" s="220">
        <v>300965.583333333</v>
      </c>
      <c r="F70" s="10" t="s">
        <v>77</v>
      </c>
      <c r="G70" s="831">
        <v>308901.5</v>
      </c>
      <c r="H70" s="85">
        <f t="shared" si="2"/>
        <v>7935.91666666698</v>
      </c>
      <c r="I70" s="85">
        <f t="shared" si="4"/>
        <v>31743.6666666679</v>
      </c>
      <c r="J70" s="85"/>
    </row>
    <row r="71" ht="27" customHeight="1" spans="1:10">
      <c r="A71" s="10"/>
      <c r="B71" s="20" t="s">
        <v>120</v>
      </c>
      <c r="C71" s="21">
        <v>8</v>
      </c>
      <c r="D71" s="21"/>
      <c r="E71" s="93">
        <f>SUM(E64:E70)</f>
        <v>2981091.91666667</v>
      </c>
      <c r="F71" s="93"/>
      <c r="G71" s="93">
        <f>SUM(G64:G70)</f>
        <v>2289295.75</v>
      </c>
      <c r="H71" s="93">
        <f>SUM(H64:H70)</f>
        <v>70577.0000000019</v>
      </c>
      <c r="I71" s="85">
        <f t="shared" si="4"/>
        <v>282308.000000007</v>
      </c>
      <c r="J71" s="93"/>
    </row>
    <row r="72" customHeight="1" spans="1:10">
      <c r="A72" s="10"/>
      <c r="B72" s="22"/>
      <c r="C72" s="21"/>
      <c r="D72" s="21"/>
      <c r="E72" s="146"/>
      <c r="F72" s="21"/>
      <c r="G72" s="825"/>
      <c r="H72" s="85">
        <f t="shared" ref="H71:H103" si="5">G72-E72</f>
        <v>0</v>
      </c>
      <c r="I72" s="146"/>
      <c r="J72" s="146"/>
    </row>
    <row r="73" customHeight="1" spans="1:10">
      <c r="A73" s="10"/>
      <c r="B73" s="20" t="s">
        <v>180</v>
      </c>
      <c r="C73" s="21"/>
      <c r="D73" s="21"/>
      <c r="E73" s="146"/>
      <c r="F73" s="21"/>
      <c r="G73" s="825"/>
      <c r="H73" s="85">
        <f t="shared" si="5"/>
        <v>0</v>
      </c>
      <c r="I73" s="146"/>
      <c r="J73" s="146"/>
    </row>
    <row r="74" customHeight="1" spans="1:10">
      <c r="A74" s="10">
        <v>1</v>
      </c>
      <c r="B74" s="11" t="s">
        <v>181</v>
      </c>
      <c r="C74" s="4" t="s">
        <v>182</v>
      </c>
      <c r="D74" s="10" t="s">
        <v>124</v>
      </c>
      <c r="E74" s="85">
        <v>1435720</v>
      </c>
      <c r="F74" s="85">
        <v>0</v>
      </c>
      <c r="G74" s="85">
        <v>0</v>
      </c>
      <c r="H74" s="85">
        <v>0</v>
      </c>
      <c r="I74" s="85"/>
      <c r="J74" s="85"/>
    </row>
    <row r="75" customHeight="1" spans="1:10">
      <c r="A75" s="10">
        <v>2</v>
      </c>
      <c r="B75" s="11" t="s">
        <v>185</v>
      </c>
      <c r="C75" s="4" t="s">
        <v>186</v>
      </c>
      <c r="D75" s="10" t="s">
        <v>41</v>
      </c>
      <c r="E75" s="85">
        <v>582118.083333333</v>
      </c>
      <c r="F75" s="10"/>
      <c r="G75" s="822"/>
      <c r="H75" s="85"/>
      <c r="I75" s="85"/>
      <c r="J75" s="85"/>
    </row>
    <row r="76" customHeight="1" spans="1:10">
      <c r="A76" s="10">
        <v>3</v>
      </c>
      <c r="B76" s="11" t="s">
        <v>187</v>
      </c>
      <c r="C76" s="4" t="s">
        <v>188</v>
      </c>
      <c r="D76" s="15" t="s">
        <v>212</v>
      </c>
      <c r="E76" s="85">
        <v>456622.25</v>
      </c>
      <c r="F76" s="15" t="s">
        <v>46</v>
      </c>
      <c r="G76" s="822">
        <v>470498</v>
      </c>
      <c r="H76" s="85">
        <f t="shared" si="5"/>
        <v>13875.75</v>
      </c>
      <c r="I76" s="85">
        <f>H76*4</f>
        <v>55503</v>
      </c>
      <c r="J76" s="85"/>
    </row>
    <row r="77" customHeight="1" spans="1:10">
      <c r="A77" s="10">
        <v>4</v>
      </c>
      <c r="B77" s="11" t="s">
        <v>194</v>
      </c>
      <c r="C77" s="4" t="s">
        <v>195</v>
      </c>
      <c r="D77" s="10" t="s">
        <v>504</v>
      </c>
      <c r="E77" s="85">
        <v>353512.5</v>
      </c>
      <c r="F77" s="189" t="s">
        <v>131</v>
      </c>
      <c r="G77" s="85">
        <v>365703.833333333</v>
      </c>
      <c r="H77" s="85">
        <f t="shared" si="5"/>
        <v>12191.333333333</v>
      </c>
      <c r="I77" s="85">
        <f>H77*4</f>
        <v>48765.3333333321</v>
      </c>
      <c r="J77" s="85" t="s">
        <v>929</v>
      </c>
    </row>
    <row r="78" customHeight="1" spans="1:10">
      <c r="A78" s="10">
        <v>5</v>
      </c>
      <c r="B78" s="11" t="s">
        <v>198</v>
      </c>
      <c r="C78" s="4" t="s">
        <v>179</v>
      </c>
      <c r="D78" s="10" t="s">
        <v>99</v>
      </c>
      <c r="E78" s="85">
        <v>263165.333333333</v>
      </c>
      <c r="F78" s="85">
        <v>0</v>
      </c>
      <c r="G78" s="85">
        <v>0</v>
      </c>
      <c r="H78" s="85">
        <v>0</v>
      </c>
      <c r="I78" s="85">
        <f>H78*4</f>
        <v>0</v>
      </c>
      <c r="J78" s="85" t="s">
        <v>929</v>
      </c>
    </row>
    <row r="79" customHeight="1" spans="1:10">
      <c r="A79" s="10">
        <v>6</v>
      </c>
      <c r="B79" s="11" t="s">
        <v>200</v>
      </c>
      <c r="C79" s="4" t="s">
        <v>201</v>
      </c>
      <c r="D79" s="10" t="s">
        <v>111</v>
      </c>
      <c r="E79" s="85">
        <v>224459.75</v>
      </c>
      <c r="F79" s="10" t="s">
        <v>108</v>
      </c>
      <c r="G79" s="822">
        <v>230631.916666667</v>
      </c>
      <c r="H79" s="85">
        <f t="shared" si="5"/>
        <v>6172.16666666701</v>
      </c>
      <c r="I79" s="85">
        <f>H79*4</f>
        <v>24688.666666668</v>
      </c>
      <c r="J79" s="85"/>
    </row>
    <row r="80" customHeight="1" spans="1:10">
      <c r="A80" s="10"/>
      <c r="B80" s="20" t="s">
        <v>120</v>
      </c>
      <c r="C80" s="21">
        <v>6</v>
      </c>
      <c r="D80" s="21"/>
      <c r="E80" s="93">
        <f>SUM(E74:E79)</f>
        <v>3315597.91666667</v>
      </c>
      <c r="F80" s="93">
        <f>SUM(F74:F79)</f>
        <v>0</v>
      </c>
      <c r="G80" s="93">
        <f>SUM(G74:G79)</f>
        <v>1066833.75</v>
      </c>
      <c r="H80" s="93">
        <f>SUM(H74:H79)</f>
        <v>32239.25</v>
      </c>
      <c r="I80" s="93">
        <f>SUM(I74:I79)</f>
        <v>128957</v>
      </c>
      <c r="J80" s="93"/>
    </row>
    <row r="81" customHeight="1" spans="1:10">
      <c r="A81" s="10"/>
      <c r="B81" s="20"/>
      <c r="C81" s="21"/>
      <c r="D81" s="21"/>
      <c r="E81" s="146"/>
      <c r="F81" s="21"/>
      <c r="G81" s="825"/>
      <c r="H81" s="85">
        <f t="shared" si="5"/>
        <v>0</v>
      </c>
      <c r="I81" s="146"/>
      <c r="J81" s="146"/>
    </row>
    <row r="82" customHeight="1" spans="1:10">
      <c r="A82" s="10"/>
      <c r="B82" s="20" t="s">
        <v>202</v>
      </c>
      <c r="C82" s="25"/>
      <c r="D82" s="21"/>
      <c r="E82" s="146"/>
      <c r="F82" s="21"/>
      <c r="G82" s="825"/>
      <c r="H82" s="85">
        <f t="shared" si="5"/>
        <v>0</v>
      </c>
      <c r="I82" s="146"/>
      <c r="J82" s="146"/>
    </row>
    <row r="83" customHeight="1" spans="1:10">
      <c r="A83" s="10">
        <v>1</v>
      </c>
      <c r="B83" s="11" t="s">
        <v>203</v>
      </c>
      <c r="C83" s="4" t="s">
        <v>142</v>
      </c>
      <c r="D83" s="10" t="s">
        <v>506</v>
      </c>
      <c r="E83" s="676">
        <f>762373.17</f>
        <v>762373.17</v>
      </c>
      <c r="F83" s="85">
        <v>0</v>
      </c>
      <c r="G83" s="85">
        <v>0</v>
      </c>
      <c r="H83" s="85">
        <v>0</v>
      </c>
      <c r="I83" s="85"/>
      <c r="J83" s="85"/>
    </row>
    <row r="84" customHeight="1" spans="1:10">
      <c r="A84" s="10">
        <v>2</v>
      </c>
      <c r="B84" s="11" t="s">
        <v>205</v>
      </c>
      <c r="C84" s="4" t="s">
        <v>142</v>
      </c>
      <c r="D84" s="10" t="s">
        <v>38</v>
      </c>
      <c r="E84" s="85">
        <v>620675.583333333</v>
      </c>
      <c r="F84" s="85">
        <v>0</v>
      </c>
      <c r="G84" s="85">
        <v>0</v>
      </c>
      <c r="H84" s="85">
        <v>0</v>
      </c>
      <c r="I84" s="85"/>
      <c r="J84" s="85"/>
    </row>
    <row r="85" customHeight="1" spans="1:10">
      <c r="A85" s="10">
        <v>3</v>
      </c>
      <c r="B85" s="11" t="s">
        <v>208</v>
      </c>
      <c r="C85" s="4" t="s">
        <v>142</v>
      </c>
      <c r="D85" s="10" t="s">
        <v>41</v>
      </c>
      <c r="E85" s="85">
        <v>582118.083333333</v>
      </c>
      <c r="F85" s="10" t="s">
        <v>49</v>
      </c>
      <c r="G85" s="822">
        <v>601396.833333333</v>
      </c>
      <c r="H85" s="85">
        <f t="shared" si="5"/>
        <v>19278.75</v>
      </c>
      <c r="I85" s="85">
        <f>H85*4</f>
        <v>77115</v>
      </c>
      <c r="J85" s="85"/>
    </row>
    <row r="86" ht="21.6" customHeight="1" spans="1:10">
      <c r="A86" s="10">
        <v>4</v>
      </c>
      <c r="B86" s="11" t="s">
        <v>209</v>
      </c>
      <c r="C86" s="4" t="s">
        <v>51</v>
      </c>
      <c r="D86" s="15" t="s">
        <v>52</v>
      </c>
      <c r="E86" s="85">
        <v>442746.5</v>
      </c>
      <c r="F86" s="832" t="s">
        <v>212</v>
      </c>
      <c r="G86" s="822">
        <v>456622.25</v>
      </c>
      <c r="H86" s="85">
        <f t="shared" si="5"/>
        <v>13875.75</v>
      </c>
      <c r="I86" s="85">
        <f t="shared" ref="I86:I92" si="6">H86*4</f>
        <v>55503</v>
      </c>
      <c r="J86" s="85" t="s">
        <v>929</v>
      </c>
    </row>
    <row r="87" ht="21.6" customHeight="1" spans="1:10">
      <c r="A87" s="10">
        <v>5</v>
      </c>
      <c r="B87" s="11" t="s">
        <v>210</v>
      </c>
      <c r="C87" s="4" t="s">
        <v>51</v>
      </c>
      <c r="D87" s="15" t="s">
        <v>52</v>
      </c>
      <c r="E87" s="85">
        <v>442746.5</v>
      </c>
      <c r="F87" s="15" t="s">
        <v>212</v>
      </c>
      <c r="G87" s="822">
        <v>456622.25</v>
      </c>
      <c r="H87" s="85">
        <f t="shared" si="5"/>
        <v>13875.75</v>
      </c>
      <c r="I87" s="85">
        <f t="shared" si="6"/>
        <v>55503</v>
      </c>
      <c r="J87" s="85"/>
    </row>
    <row r="88" ht="21.6" customHeight="1" spans="1:10">
      <c r="A88" s="10">
        <v>6</v>
      </c>
      <c r="B88" s="11" t="s">
        <v>211</v>
      </c>
      <c r="C88" s="12" t="s">
        <v>51</v>
      </c>
      <c r="D88" s="15" t="s">
        <v>501</v>
      </c>
      <c r="E88" s="85">
        <v>428870.75</v>
      </c>
      <c r="F88" s="15" t="s">
        <v>52</v>
      </c>
      <c r="G88" s="822">
        <v>442746.5</v>
      </c>
      <c r="H88" s="85">
        <f t="shared" si="5"/>
        <v>13875.75</v>
      </c>
      <c r="I88" s="85">
        <f t="shared" si="6"/>
        <v>55503</v>
      </c>
      <c r="J88" s="85"/>
    </row>
    <row r="89" ht="21.6" customHeight="1" spans="1:10">
      <c r="A89" s="10">
        <v>7</v>
      </c>
      <c r="B89" s="11" t="s">
        <v>213</v>
      </c>
      <c r="C89" s="17" t="s">
        <v>71</v>
      </c>
      <c r="D89" s="15" t="s">
        <v>131</v>
      </c>
      <c r="E89" s="85">
        <v>365703.833333333</v>
      </c>
      <c r="F89" s="15" t="s">
        <v>69</v>
      </c>
      <c r="G89" s="822">
        <v>377895.166666667</v>
      </c>
      <c r="H89" s="85">
        <f t="shared" si="5"/>
        <v>12191.333333334</v>
      </c>
      <c r="I89" s="85">
        <f t="shared" si="6"/>
        <v>48765.3333333358</v>
      </c>
      <c r="J89" s="85"/>
    </row>
    <row r="90" ht="21.6" customHeight="1" spans="1:10">
      <c r="A90" s="10">
        <v>8</v>
      </c>
      <c r="B90" s="11" t="s">
        <v>214</v>
      </c>
      <c r="C90" s="17" t="s">
        <v>167</v>
      </c>
      <c r="D90" s="15" t="s">
        <v>66</v>
      </c>
      <c r="E90" s="85">
        <v>390248.916666667</v>
      </c>
      <c r="F90" s="15" t="s">
        <v>63</v>
      </c>
      <c r="G90" s="822">
        <v>403137.916666667</v>
      </c>
      <c r="H90" s="85">
        <f t="shared" si="5"/>
        <v>12889</v>
      </c>
      <c r="I90" s="85">
        <f t="shared" si="6"/>
        <v>51556</v>
      </c>
      <c r="J90" s="85"/>
    </row>
    <row r="91" ht="21.6" customHeight="1" spans="1:10">
      <c r="A91" s="10">
        <v>9</v>
      </c>
      <c r="B91" s="11" t="s">
        <v>217</v>
      </c>
      <c r="C91" s="4" t="s">
        <v>218</v>
      </c>
      <c r="D91" s="10" t="s">
        <v>74</v>
      </c>
      <c r="E91" s="220">
        <v>300965.583333333</v>
      </c>
      <c r="F91" s="10" t="s">
        <v>77</v>
      </c>
      <c r="G91" s="831">
        <v>308901.5</v>
      </c>
      <c r="H91" s="85">
        <f t="shared" si="5"/>
        <v>7935.91666666698</v>
      </c>
      <c r="I91" s="85">
        <f t="shared" si="6"/>
        <v>31743.6666666679</v>
      </c>
      <c r="J91" s="85"/>
    </row>
    <row r="92" ht="21.6" customHeight="1" spans="1:10">
      <c r="A92" s="10">
        <v>10</v>
      </c>
      <c r="B92" s="11" t="s">
        <v>221</v>
      </c>
      <c r="C92" s="17" t="s">
        <v>222</v>
      </c>
      <c r="D92" s="15" t="s">
        <v>108</v>
      </c>
      <c r="E92" s="220">
        <v>230631.916666667</v>
      </c>
      <c r="F92" s="15" t="s">
        <v>105</v>
      </c>
      <c r="G92" s="831">
        <v>236804.083333333</v>
      </c>
      <c r="H92" s="85">
        <f t="shared" si="5"/>
        <v>6172.16666666599</v>
      </c>
      <c r="I92" s="85">
        <f t="shared" si="6"/>
        <v>24688.666666664</v>
      </c>
      <c r="J92" s="85"/>
    </row>
    <row r="93" customHeight="1" spans="1:10">
      <c r="A93" s="10"/>
      <c r="B93" s="20" t="s">
        <v>120</v>
      </c>
      <c r="C93" s="21">
        <v>10</v>
      </c>
      <c r="D93" s="21"/>
      <c r="E93" s="93">
        <f>SUM(E83:E92)</f>
        <v>4567080.83666667</v>
      </c>
      <c r="F93" s="93">
        <f>SUM(F83:F92)</f>
        <v>0</v>
      </c>
      <c r="G93" s="93">
        <f>SUM(G83:G92)</f>
        <v>3284126.5</v>
      </c>
      <c r="H93" s="93">
        <f>SUM(H83:H92)</f>
        <v>100094.416666667</v>
      </c>
      <c r="I93" s="93">
        <f>SUM(I83:I92)</f>
        <v>400377.666666668</v>
      </c>
      <c r="J93" s="93"/>
    </row>
    <row r="94" customHeight="1" spans="1:10">
      <c r="A94" s="10"/>
      <c r="B94" s="22"/>
      <c r="C94" s="21"/>
      <c r="D94" s="21"/>
      <c r="E94" s="146"/>
      <c r="F94" s="21"/>
      <c r="G94" s="825"/>
      <c r="H94" s="85"/>
      <c r="I94" s="146"/>
      <c r="J94" s="146"/>
    </row>
    <row r="95" customHeight="1" spans="1:10">
      <c r="A95" s="10"/>
      <c r="B95" s="20" t="s">
        <v>224</v>
      </c>
      <c r="C95" s="21"/>
      <c r="D95" s="21"/>
      <c r="E95" s="146"/>
      <c r="F95" s="21"/>
      <c r="G95" s="825"/>
      <c r="H95" s="85"/>
      <c r="I95" s="146"/>
      <c r="J95" s="146"/>
    </row>
    <row r="96" customHeight="1" spans="1:10">
      <c r="A96" s="10">
        <v>1</v>
      </c>
      <c r="B96" s="14" t="s">
        <v>225</v>
      </c>
      <c r="C96" s="4" t="s">
        <v>554</v>
      </c>
      <c r="D96" s="16" t="s">
        <v>505</v>
      </c>
      <c r="E96" s="85">
        <f>'[3]Annual &amp; Monthly'!$H$44</f>
        <v>1352042.66666667</v>
      </c>
      <c r="F96" s="16" t="s">
        <v>140</v>
      </c>
      <c r="G96" s="822">
        <v>1393881.33333333</v>
      </c>
      <c r="H96" s="85">
        <f t="shared" si="5"/>
        <v>41838.66666666</v>
      </c>
      <c r="I96" s="85">
        <f>H96*4</f>
        <v>167354.66666664</v>
      </c>
      <c r="J96" s="85"/>
    </row>
    <row r="97" customHeight="1" spans="1:10">
      <c r="A97" s="10">
        <v>2</v>
      </c>
      <c r="B97" s="11" t="s">
        <v>227</v>
      </c>
      <c r="C97" s="4" t="s">
        <v>228</v>
      </c>
      <c r="D97" s="15" t="s">
        <v>212</v>
      </c>
      <c r="E97" s="85">
        <v>456622.25</v>
      </c>
      <c r="F97" s="15" t="s">
        <v>46</v>
      </c>
      <c r="G97" s="822">
        <v>470498</v>
      </c>
      <c r="H97" s="85">
        <f t="shared" si="5"/>
        <v>13875.75</v>
      </c>
      <c r="I97" s="85">
        <f>H97*4</f>
        <v>55503</v>
      </c>
      <c r="J97" s="85"/>
    </row>
    <row r="98" customHeight="1" spans="1:10">
      <c r="A98" s="27">
        <v>6</v>
      </c>
      <c r="B98" s="11" t="s">
        <v>229</v>
      </c>
      <c r="C98" s="12" t="s">
        <v>230</v>
      </c>
      <c r="D98" s="15" t="s">
        <v>66</v>
      </c>
      <c r="E98" s="85">
        <v>390248.916666667</v>
      </c>
      <c r="F98" s="15" t="s">
        <v>63</v>
      </c>
      <c r="G98" s="822">
        <v>403137.916666667</v>
      </c>
      <c r="H98" s="85">
        <f t="shared" si="5"/>
        <v>12889</v>
      </c>
      <c r="I98" s="85">
        <f>H98*4</f>
        <v>51556</v>
      </c>
      <c r="J98" s="85"/>
    </row>
    <row r="99" customHeight="1" spans="1:10">
      <c r="A99" s="10">
        <v>3</v>
      </c>
      <c r="B99" s="11" t="s">
        <v>233</v>
      </c>
      <c r="C99" s="4" t="s">
        <v>555</v>
      </c>
      <c r="D99" s="15" t="s">
        <v>69</v>
      </c>
      <c r="E99" s="85">
        <v>377895.166666667</v>
      </c>
      <c r="F99" s="15" t="s">
        <v>170</v>
      </c>
      <c r="G99" s="822">
        <v>390086.5</v>
      </c>
      <c r="H99" s="85">
        <f t="shared" si="5"/>
        <v>12191.333333333</v>
      </c>
      <c r="I99" s="85">
        <f>H99*4</f>
        <v>48765.3333333321</v>
      </c>
      <c r="J99" s="85"/>
    </row>
    <row r="100" customHeight="1" spans="1:10">
      <c r="A100" s="10">
        <v>4</v>
      </c>
      <c r="B100" s="11" t="s">
        <v>234</v>
      </c>
      <c r="C100" s="4" t="s">
        <v>197</v>
      </c>
      <c r="D100" s="15" t="s">
        <v>74</v>
      </c>
      <c r="E100" s="220">
        <v>300965.583333333</v>
      </c>
      <c r="F100" s="15" t="s">
        <v>77</v>
      </c>
      <c r="G100" s="831">
        <v>308901.5</v>
      </c>
      <c r="H100" s="85">
        <f t="shared" si="5"/>
        <v>7935.91666666698</v>
      </c>
      <c r="I100" s="85">
        <f>H100*4</f>
        <v>31743.6666666679</v>
      </c>
      <c r="J100" s="85"/>
    </row>
    <row r="101" customHeight="1" spans="1:10">
      <c r="A101" s="4"/>
      <c r="B101" s="20" t="s">
        <v>120</v>
      </c>
      <c r="C101" s="21">
        <v>4</v>
      </c>
      <c r="D101" s="26"/>
      <c r="E101" s="93">
        <f>SUM(E96:E100)</f>
        <v>2877774.58333333</v>
      </c>
      <c r="F101" s="93"/>
      <c r="G101" s="93">
        <f>SUM(G96:G100)</f>
        <v>2966505.25</v>
      </c>
      <c r="H101" s="85">
        <f t="shared" si="5"/>
        <v>88730.6666666698</v>
      </c>
      <c r="I101" s="93">
        <f>SUM(I96:I100)</f>
        <v>354922.66666664</v>
      </c>
      <c r="J101" s="93"/>
    </row>
    <row r="102" customHeight="1" spans="1:10">
      <c r="A102" s="4"/>
      <c r="B102" s="22"/>
      <c r="C102" s="21"/>
      <c r="D102" s="26"/>
      <c r="E102" s="146"/>
      <c r="F102" s="26"/>
      <c r="G102" s="825"/>
      <c r="H102" s="85">
        <f t="shared" si="5"/>
        <v>0</v>
      </c>
      <c r="I102" s="146"/>
      <c r="J102" s="146"/>
    </row>
    <row r="103" customHeight="1" spans="1:10">
      <c r="A103" s="4"/>
      <c r="B103" s="20" t="s">
        <v>237</v>
      </c>
      <c r="C103" s="4"/>
      <c r="D103" s="4"/>
      <c r="E103" s="4"/>
      <c r="F103" s="4"/>
      <c r="G103" s="833"/>
      <c r="H103" s="85">
        <f t="shared" si="5"/>
        <v>0</v>
      </c>
      <c r="I103" s="4"/>
      <c r="J103" s="4"/>
    </row>
    <row r="104" customHeight="1" spans="1:10">
      <c r="A104" s="4">
        <v>1</v>
      </c>
      <c r="B104" s="11" t="s">
        <v>556</v>
      </c>
      <c r="C104" s="12" t="s">
        <v>239</v>
      </c>
      <c r="D104" s="15" t="s">
        <v>124</v>
      </c>
      <c r="E104" s="85">
        <v>1435720</v>
      </c>
      <c r="F104" s="85">
        <v>0</v>
      </c>
      <c r="G104" s="85">
        <v>0</v>
      </c>
      <c r="H104" s="85">
        <v>0</v>
      </c>
      <c r="I104" s="85"/>
      <c r="J104" s="85"/>
    </row>
    <row r="105" customHeight="1" spans="1:10">
      <c r="A105" s="4">
        <v>2</v>
      </c>
      <c r="B105" s="11" t="s">
        <v>240</v>
      </c>
      <c r="C105" s="4" t="s">
        <v>241</v>
      </c>
      <c r="D105" s="16" t="s">
        <v>35</v>
      </c>
      <c r="E105" s="85">
        <v>762373.166666667</v>
      </c>
      <c r="F105" s="85">
        <v>0</v>
      </c>
      <c r="G105" s="85">
        <v>0</v>
      </c>
      <c r="H105" s="85">
        <v>0</v>
      </c>
      <c r="I105" s="85"/>
      <c r="J105" s="85"/>
    </row>
    <row r="106" customHeight="1" spans="1:10">
      <c r="A106" s="4">
        <v>3</v>
      </c>
      <c r="B106" s="11" t="s">
        <v>242</v>
      </c>
      <c r="C106" s="4" t="s">
        <v>557</v>
      </c>
      <c r="D106" s="10" t="s">
        <v>55</v>
      </c>
      <c r="E106" s="85">
        <v>441804.916666667</v>
      </c>
      <c r="F106" s="85">
        <v>0</v>
      </c>
      <c r="G106" s="85">
        <v>0</v>
      </c>
      <c r="H106" s="85">
        <v>0</v>
      </c>
      <c r="I106" s="85"/>
      <c r="J106" s="85"/>
    </row>
    <row r="107" customHeight="1" spans="1:10">
      <c r="A107" s="4">
        <v>4</v>
      </c>
      <c r="B107" s="11" t="s">
        <v>244</v>
      </c>
      <c r="C107" s="4" t="s">
        <v>557</v>
      </c>
      <c r="D107" s="10" t="s">
        <v>55</v>
      </c>
      <c r="E107" s="85">
        <v>441804.916666667</v>
      </c>
      <c r="F107" s="85">
        <v>0</v>
      </c>
      <c r="G107" s="85">
        <v>0</v>
      </c>
      <c r="H107" s="85">
        <v>0</v>
      </c>
      <c r="I107" s="85"/>
      <c r="J107" s="85"/>
    </row>
    <row r="108" customHeight="1" spans="1:10">
      <c r="A108" s="4">
        <v>5</v>
      </c>
      <c r="B108" s="11" t="s">
        <v>247</v>
      </c>
      <c r="C108" s="4" t="s">
        <v>248</v>
      </c>
      <c r="D108" s="15" t="s">
        <v>853</v>
      </c>
      <c r="E108" s="220">
        <v>249148.416666667</v>
      </c>
      <c r="F108" s="15" t="s">
        <v>507</v>
      </c>
      <c r="G108" s="831">
        <v>255320.583333333</v>
      </c>
      <c r="H108" s="85">
        <f>G108-E108</f>
        <v>6172.16666666599</v>
      </c>
      <c r="I108" s="85">
        <f>H108*4</f>
        <v>24688.666666664</v>
      </c>
      <c r="J108" s="85"/>
    </row>
    <row r="109" customHeight="1" spans="1:10">
      <c r="A109" s="4">
        <v>6</v>
      </c>
      <c r="B109" s="18" t="s">
        <v>250</v>
      </c>
      <c r="C109" s="4" t="s">
        <v>248</v>
      </c>
      <c r="D109" s="10" t="s">
        <v>223</v>
      </c>
      <c r="E109" s="220">
        <v>242976.25</v>
      </c>
      <c r="F109" s="834" t="s">
        <v>853</v>
      </c>
      <c r="G109" s="831">
        <v>249148.416666667</v>
      </c>
      <c r="H109" s="85"/>
      <c r="I109" s="85">
        <f>H108*3.5</f>
        <v>21602.583333331</v>
      </c>
      <c r="J109" s="85"/>
    </row>
    <row r="110" customHeight="1" spans="1:10">
      <c r="A110" s="4">
        <v>7</v>
      </c>
      <c r="B110" s="18" t="s">
        <v>251</v>
      </c>
      <c r="C110" s="4" t="s">
        <v>248</v>
      </c>
      <c r="D110" s="15" t="s">
        <v>108</v>
      </c>
      <c r="E110" s="220">
        <v>230631.916666667</v>
      </c>
      <c r="F110" s="15" t="s">
        <v>105</v>
      </c>
      <c r="G110" s="831">
        <v>236804.083333333</v>
      </c>
      <c r="H110" s="85">
        <f>G110-E110</f>
        <v>6172.16666666599</v>
      </c>
      <c r="I110" s="85">
        <f>H110*4</f>
        <v>24688.666666664</v>
      </c>
      <c r="J110" s="85"/>
    </row>
    <row r="111" ht="25.5" customHeight="1" spans="1:10">
      <c r="A111" s="4"/>
      <c r="B111" s="20" t="s">
        <v>120</v>
      </c>
      <c r="C111" s="21">
        <v>7</v>
      </c>
      <c r="D111" s="4"/>
      <c r="E111" s="223">
        <f>SUM(E104:E110)</f>
        <v>3804459.58333333</v>
      </c>
      <c r="F111" s="223"/>
      <c r="G111" s="223">
        <f>SUM(G104:G110)</f>
        <v>741273.083333333</v>
      </c>
      <c r="H111" s="223">
        <f>SUM(H104:H110)</f>
        <v>12344.333333332</v>
      </c>
      <c r="I111" s="223">
        <f>SUM(I104:I110)</f>
        <v>70979.916666659</v>
      </c>
      <c r="J111" s="223"/>
    </row>
    <row r="112" customHeight="1" spans="1:10">
      <c r="A112" s="4"/>
      <c r="B112" s="20"/>
      <c r="C112" s="21"/>
      <c r="D112" s="4"/>
      <c r="E112" s="223"/>
      <c r="F112" s="4"/>
      <c r="G112" s="835"/>
      <c r="H112" s="85"/>
      <c r="I112" s="223"/>
      <c r="J112" s="223"/>
    </row>
    <row r="113" customHeight="1" spans="1:10">
      <c r="A113" s="10"/>
      <c r="B113" s="20" t="s">
        <v>255</v>
      </c>
      <c r="C113" s="21"/>
      <c r="D113" s="21"/>
      <c r="E113" s="146"/>
      <c r="F113" s="21"/>
      <c r="G113" s="825"/>
      <c r="H113" s="85"/>
      <c r="I113" s="146"/>
      <c r="J113" s="146"/>
    </row>
    <row r="114" ht="18.75" customHeight="1" spans="1:10">
      <c r="A114" s="10">
        <v>1</v>
      </c>
      <c r="B114" s="11" t="s">
        <v>257</v>
      </c>
      <c r="C114" s="4" t="s">
        <v>258</v>
      </c>
      <c r="D114" s="15" t="s">
        <v>69</v>
      </c>
      <c r="E114" s="85">
        <v>377895.166666667</v>
      </c>
      <c r="F114" s="15" t="s">
        <v>170</v>
      </c>
      <c r="G114" s="822">
        <v>390086.5</v>
      </c>
      <c r="H114" s="85">
        <f>G114-E114</f>
        <v>12191.333333333</v>
      </c>
      <c r="I114" s="85">
        <f>H114*4</f>
        <v>48765.3333333321</v>
      </c>
      <c r="J114" s="85"/>
    </row>
    <row r="115" customHeight="1" spans="1:10">
      <c r="A115" s="10">
        <v>2</v>
      </c>
      <c r="B115" s="11" t="s">
        <v>190</v>
      </c>
      <c r="C115" s="12" t="s">
        <v>191</v>
      </c>
      <c r="D115" s="15" t="s">
        <v>66</v>
      </c>
      <c r="E115" s="85">
        <v>390248.916666667</v>
      </c>
      <c r="F115" s="85">
        <v>0</v>
      </c>
      <c r="G115" s="85">
        <v>0</v>
      </c>
      <c r="H115" s="85">
        <v>0</v>
      </c>
      <c r="I115" s="85"/>
      <c r="J115" s="85"/>
    </row>
    <row r="116" ht="24.75" customHeight="1" spans="1:10">
      <c r="A116" s="4"/>
      <c r="B116" s="20" t="s">
        <v>120</v>
      </c>
      <c r="C116" s="21">
        <v>2</v>
      </c>
      <c r="D116" s="26"/>
      <c r="E116" s="93">
        <f>SUM(E114:E115)</f>
        <v>768144.083333334</v>
      </c>
      <c r="F116" s="93"/>
      <c r="G116" s="93">
        <f>SUM(G114:G115)</f>
        <v>390086.5</v>
      </c>
      <c r="H116" s="93">
        <f>SUM(H114:H115)</f>
        <v>12191.333333333</v>
      </c>
      <c r="I116" s="93">
        <f>SUM(I114:I115)</f>
        <v>48765.3333333321</v>
      </c>
      <c r="J116" s="93"/>
    </row>
    <row r="117" ht="24.75" customHeight="1" spans="1:10">
      <c r="A117" s="4"/>
      <c r="B117" s="20"/>
      <c r="C117" s="21"/>
      <c r="D117" s="26"/>
      <c r="E117" s="93"/>
      <c r="F117" s="26"/>
      <c r="G117" s="826"/>
      <c r="H117" s="85"/>
      <c r="I117" s="93"/>
      <c r="J117" s="93"/>
    </row>
    <row r="118" ht="24.75" customHeight="1" spans="1:10">
      <c r="A118" s="10"/>
      <c r="B118" s="20" t="s">
        <v>267</v>
      </c>
      <c r="C118" s="21"/>
      <c r="D118" s="21"/>
      <c r="E118" s="146"/>
      <c r="F118" s="21"/>
      <c r="G118" s="825"/>
      <c r="H118" s="85"/>
      <c r="I118" s="146"/>
      <c r="J118" s="146"/>
    </row>
    <row r="119" ht="24.75" customHeight="1" spans="1:10">
      <c r="A119" s="10">
        <v>1</v>
      </c>
      <c r="B119" s="14" t="s">
        <v>930</v>
      </c>
      <c r="C119" s="4" t="s">
        <v>931</v>
      </c>
      <c r="D119" s="10" t="s">
        <v>276</v>
      </c>
      <c r="E119" s="85">
        <v>218287.583333333</v>
      </c>
      <c r="F119" s="834"/>
      <c r="G119" s="822"/>
      <c r="H119" s="85"/>
      <c r="I119" s="85"/>
      <c r="J119" s="85"/>
    </row>
    <row r="120" ht="24.75" customHeight="1" spans="1:10">
      <c r="A120" s="10">
        <v>2</v>
      </c>
      <c r="B120" s="11" t="s">
        <v>272</v>
      </c>
      <c r="C120" s="4" t="s">
        <v>273</v>
      </c>
      <c r="D120" s="10" t="s">
        <v>276</v>
      </c>
      <c r="E120" s="85">
        <v>218287.583333333</v>
      </c>
      <c r="F120" s="834"/>
      <c r="G120" s="822"/>
      <c r="H120" s="85"/>
      <c r="I120" s="85"/>
      <c r="J120" s="85"/>
    </row>
    <row r="121" ht="24.75" customHeight="1" spans="1:10">
      <c r="A121" s="10">
        <v>3</v>
      </c>
      <c r="B121" s="11" t="s">
        <v>277</v>
      </c>
      <c r="C121" s="4" t="s">
        <v>278</v>
      </c>
      <c r="D121" s="10" t="s">
        <v>276</v>
      </c>
      <c r="E121" s="85">
        <v>218287.583333333</v>
      </c>
      <c r="F121" s="834"/>
      <c r="G121" s="822"/>
      <c r="H121" s="85"/>
      <c r="I121" s="85"/>
      <c r="J121" s="85"/>
    </row>
    <row r="122" customHeight="1" spans="1:10">
      <c r="A122" s="4"/>
      <c r="B122" s="20" t="s">
        <v>120</v>
      </c>
      <c r="C122" s="21">
        <v>3</v>
      </c>
      <c r="D122" s="26"/>
      <c r="E122" s="93">
        <f>SUM(E119:E121)</f>
        <v>654862.749999999</v>
      </c>
      <c r="F122" s="93"/>
      <c r="G122" s="93">
        <f>SUM(G119:G121)</f>
        <v>0</v>
      </c>
      <c r="H122" s="93">
        <f>SUM(H119:H121)</f>
        <v>0</v>
      </c>
      <c r="I122" s="93">
        <f>SUM(I119:I121)</f>
        <v>0</v>
      </c>
      <c r="J122" s="93"/>
    </row>
    <row r="123" customHeight="1" spans="1:10">
      <c r="A123" s="4"/>
      <c r="B123" s="20"/>
      <c r="C123" s="21"/>
      <c r="D123" s="26"/>
      <c r="E123" s="93"/>
      <c r="F123" s="26"/>
      <c r="G123" s="826"/>
      <c r="H123" s="85">
        <f>G123-E123</f>
        <v>0</v>
      </c>
      <c r="I123" s="93"/>
      <c r="J123" s="93"/>
    </row>
    <row r="124" customHeight="1" spans="1:10">
      <c r="A124" s="4"/>
      <c r="B124" s="20" t="s">
        <v>279</v>
      </c>
      <c r="C124" s="21"/>
      <c r="D124" s="21"/>
      <c r="E124" s="146"/>
      <c r="F124" s="21"/>
      <c r="G124" s="825"/>
      <c r="H124" s="85">
        <f>G124-E124</f>
        <v>0</v>
      </c>
      <c r="I124" s="146"/>
      <c r="J124" s="146"/>
    </row>
    <row r="125" customHeight="1" spans="1:10">
      <c r="A125" s="4">
        <v>1</v>
      </c>
      <c r="B125" s="11" t="s">
        <v>280</v>
      </c>
      <c r="C125" s="12" t="s">
        <v>281</v>
      </c>
      <c r="D125" s="15" t="s">
        <v>124</v>
      </c>
      <c r="E125" s="85">
        <v>1435720</v>
      </c>
      <c r="F125" s="85">
        <v>0</v>
      </c>
      <c r="G125" s="85">
        <v>0</v>
      </c>
      <c r="H125" s="85">
        <v>0</v>
      </c>
      <c r="I125" s="85"/>
      <c r="J125" s="85"/>
    </row>
    <row r="126" customHeight="1" spans="1:10">
      <c r="A126" s="4">
        <v>2</v>
      </c>
      <c r="B126" s="11" t="s">
        <v>282</v>
      </c>
      <c r="C126" s="12" t="s">
        <v>558</v>
      </c>
      <c r="D126" s="15" t="s">
        <v>207</v>
      </c>
      <c r="E126" s="85">
        <v>739203.583333333</v>
      </c>
      <c r="F126" s="15" t="s">
        <v>35</v>
      </c>
      <c r="G126" s="822">
        <v>762373.166666667</v>
      </c>
      <c r="H126" s="85">
        <f>G126-E126</f>
        <v>23169.583333334</v>
      </c>
      <c r="I126" s="85">
        <f>H126*4</f>
        <v>92678.3333333358</v>
      </c>
      <c r="J126" s="85"/>
    </row>
    <row r="127" customHeight="1" spans="1:10">
      <c r="A127" s="4">
        <v>3</v>
      </c>
      <c r="B127" s="14" t="s">
        <v>284</v>
      </c>
      <c r="C127" s="12" t="s">
        <v>559</v>
      </c>
      <c r="D127" s="15" t="s">
        <v>38</v>
      </c>
      <c r="E127" s="85">
        <v>620675.583333333</v>
      </c>
      <c r="F127" s="85">
        <v>0</v>
      </c>
      <c r="G127" s="85">
        <v>0</v>
      </c>
      <c r="H127" s="85">
        <v>0</v>
      </c>
      <c r="I127" s="85">
        <f t="shared" ref="I127:I135" si="7">H127*4</f>
        <v>0</v>
      </c>
      <c r="J127" s="85"/>
    </row>
    <row r="128" customHeight="1" spans="1:10">
      <c r="A128" s="4">
        <v>4</v>
      </c>
      <c r="B128" s="11" t="s">
        <v>287</v>
      </c>
      <c r="C128" s="12" t="s">
        <v>289</v>
      </c>
      <c r="D128" s="15" t="s">
        <v>46</v>
      </c>
      <c r="E128" s="85">
        <v>470498</v>
      </c>
      <c r="F128" s="15" t="s">
        <v>189</v>
      </c>
      <c r="G128" s="822">
        <v>484373.75</v>
      </c>
      <c r="H128" s="85">
        <f>G128-E128</f>
        <v>13875.75</v>
      </c>
      <c r="I128" s="85">
        <f t="shared" si="7"/>
        <v>55503</v>
      </c>
      <c r="J128" s="85"/>
    </row>
    <row r="129" customHeight="1" spans="1:10">
      <c r="A129" s="4">
        <v>5</v>
      </c>
      <c r="B129" s="11" t="s">
        <v>288</v>
      </c>
      <c r="C129" s="12" t="s">
        <v>560</v>
      </c>
      <c r="D129" s="15" t="s">
        <v>52</v>
      </c>
      <c r="E129" s="85">
        <v>442746.5</v>
      </c>
      <c r="F129" s="15" t="s">
        <v>212</v>
      </c>
      <c r="G129" s="822">
        <v>456622.25</v>
      </c>
      <c r="H129" s="85">
        <f t="shared" ref="H127:H134" si="8">G129-E129</f>
        <v>13875.75</v>
      </c>
      <c r="I129" s="85">
        <f t="shared" si="7"/>
        <v>55503</v>
      </c>
      <c r="J129" s="85"/>
    </row>
    <row r="130" customHeight="1" spans="1:10">
      <c r="A130" s="4">
        <v>6</v>
      </c>
      <c r="B130" s="11" t="s">
        <v>290</v>
      </c>
      <c r="C130" s="12" t="s">
        <v>289</v>
      </c>
      <c r="D130" s="15" t="s">
        <v>212</v>
      </c>
      <c r="E130" s="85">
        <v>456622.25</v>
      </c>
      <c r="F130" s="15" t="s">
        <v>46</v>
      </c>
      <c r="G130" s="822">
        <v>470498</v>
      </c>
      <c r="H130" s="85">
        <f t="shared" si="8"/>
        <v>13875.75</v>
      </c>
      <c r="I130" s="85">
        <f t="shared" si="7"/>
        <v>55503</v>
      </c>
      <c r="J130" s="85"/>
    </row>
    <row r="131" customHeight="1" spans="1:10">
      <c r="A131" s="4">
        <v>7</v>
      </c>
      <c r="B131" s="11" t="s">
        <v>293</v>
      </c>
      <c r="C131" s="12" t="s">
        <v>561</v>
      </c>
      <c r="D131" s="10" t="s">
        <v>88</v>
      </c>
      <c r="E131" s="85">
        <v>270481.666666667</v>
      </c>
      <c r="F131" s="10" t="s">
        <v>85</v>
      </c>
      <c r="G131" s="822">
        <v>277798</v>
      </c>
      <c r="H131" s="85">
        <f t="shared" si="8"/>
        <v>7316.33333333302</v>
      </c>
      <c r="I131" s="85">
        <f t="shared" si="7"/>
        <v>29265.3333333321</v>
      </c>
      <c r="J131" s="85"/>
    </row>
    <row r="132" customHeight="1" spans="1:10">
      <c r="A132" s="4">
        <v>8</v>
      </c>
      <c r="B132" s="18" t="s">
        <v>295</v>
      </c>
      <c r="C132" s="12" t="s">
        <v>296</v>
      </c>
      <c r="D132" s="15" t="s">
        <v>111</v>
      </c>
      <c r="E132" s="85">
        <v>224459.75</v>
      </c>
      <c r="F132" s="15" t="s">
        <v>108</v>
      </c>
      <c r="G132" s="822">
        <v>230631.916666667</v>
      </c>
      <c r="H132" s="85">
        <f t="shared" si="8"/>
        <v>6172.16666666701</v>
      </c>
      <c r="I132" s="85">
        <f t="shared" si="7"/>
        <v>24688.666666668</v>
      </c>
      <c r="J132" s="85"/>
    </row>
    <row r="133" customHeight="1" spans="1:10">
      <c r="A133" s="4">
        <v>9</v>
      </c>
      <c r="B133" s="18" t="s">
        <v>297</v>
      </c>
      <c r="C133" s="12" t="s">
        <v>292</v>
      </c>
      <c r="D133" s="15" t="s">
        <v>111</v>
      </c>
      <c r="E133" s="85">
        <v>224459.75</v>
      </c>
      <c r="F133" s="15" t="s">
        <v>108</v>
      </c>
      <c r="G133" s="822">
        <v>230631.916666667</v>
      </c>
      <c r="H133" s="85">
        <f t="shared" si="8"/>
        <v>6172.16666666701</v>
      </c>
      <c r="I133" s="85">
        <f t="shared" si="7"/>
        <v>24688.666666668</v>
      </c>
      <c r="J133" s="85"/>
    </row>
    <row r="134" customHeight="1" spans="1:10">
      <c r="A134" s="4">
        <v>10</v>
      </c>
      <c r="B134" s="18" t="s">
        <v>298</v>
      </c>
      <c r="C134" s="12" t="s">
        <v>296</v>
      </c>
      <c r="D134" s="15" t="s">
        <v>276</v>
      </c>
      <c r="E134" s="85">
        <v>218287.583333333</v>
      </c>
      <c r="F134" s="15" t="s">
        <v>111</v>
      </c>
      <c r="G134" s="822">
        <v>224459.75</v>
      </c>
      <c r="H134" s="85">
        <f t="shared" si="8"/>
        <v>6172.16666666701</v>
      </c>
      <c r="I134" s="85">
        <f t="shared" si="7"/>
        <v>24688.666666668</v>
      </c>
      <c r="J134" s="85"/>
    </row>
    <row r="135" ht="28.5" customHeight="1" spans="1:10">
      <c r="A135" s="4"/>
      <c r="B135" s="20" t="s">
        <v>120</v>
      </c>
      <c r="C135" s="26" t="s">
        <v>562</v>
      </c>
      <c r="D135" s="15"/>
      <c r="E135" s="146">
        <f>SUM(E125:E134)</f>
        <v>5103154.66666667</v>
      </c>
      <c r="F135" s="146"/>
      <c r="G135" s="146">
        <f>SUM(G125:G134)</f>
        <v>3137388.75</v>
      </c>
      <c r="H135" s="146">
        <f>SUM(H125:H134)</f>
        <v>90629.666666668</v>
      </c>
      <c r="I135" s="85">
        <f t="shared" si="7"/>
        <v>362518.666666672</v>
      </c>
      <c r="J135" s="146"/>
    </row>
    <row r="136" customHeight="1" spans="1:10">
      <c r="A136" s="4"/>
      <c r="B136" s="22"/>
      <c r="C136" s="26"/>
      <c r="D136" s="15"/>
      <c r="E136" s="146"/>
      <c r="F136" s="15"/>
      <c r="G136" s="825"/>
      <c r="H136" s="146"/>
      <c r="I136" s="146"/>
      <c r="J136" s="146"/>
    </row>
    <row r="137" customHeight="1" spans="1:10">
      <c r="A137" s="4"/>
      <c r="B137" s="20" t="s">
        <v>300</v>
      </c>
      <c r="C137" s="12"/>
      <c r="D137" s="15"/>
      <c r="E137" s="85"/>
      <c r="F137" s="15"/>
      <c r="G137" s="822"/>
      <c r="H137" s="85"/>
      <c r="I137" s="85"/>
      <c r="J137" s="85"/>
    </row>
    <row r="138" customHeight="1" spans="1:10">
      <c r="A138" s="27">
        <v>2</v>
      </c>
      <c r="B138" s="14" t="s">
        <v>301</v>
      </c>
      <c r="C138" s="4" t="s">
        <v>302</v>
      </c>
      <c r="D138" s="10" t="s">
        <v>508</v>
      </c>
      <c r="E138" s="85">
        <v>1200519.22</v>
      </c>
      <c r="F138" s="85">
        <v>0</v>
      </c>
      <c r="G138" s="85">
        <v>0</v>
      </c>
      <c r="H138" s="85">
        <v>0</v>
      </c>
      <c r="I138" s="85"/>
      <c r="J138" s="85"/>
    </row>
    <row r="139" customHeight="1" spans="1:10">
      <c r="A139" s="27">
        <v>3</v>
      </c>
      <c r="B139" s="14" t="s">
        <v>304</v>
      </c>
      <c r="C139" s="4" t="s">
        <v>305</v>
      </c>
      <c r="D139" s="16" t="s">
        <v>35</v>
      </c>
      <c r="E139" s="85">
        <v>762373.166666667</v>
      </c>
      <c r="F139" s="85">
        <v>0</v>
      </c>
      <c r="G139" s="85">
        <v>0</v>
      </c>
      <c r="H139" s="85">
        <v>0</v>
      </c>
      <c r="I139" s="85"/>
      <c r="J139" s="85"/>
    </row>
    <row r="140" customHeight="1" spans="1:10">
      <c r="A140" s="27">
        <v>4</v>
      </c>
      <c r="B140" s="11" t="s">
        <v>306</v>
      </c>
      <c r="C140" s="12" t="s">
        <v>307</v>
      </c>
      <c r="D140" s="15" t="s">
        <v>41</v>
      </c>
      <c r="E140" s="85">
        <v>582118.083333333</v>
      </c>
      <c r="F140" s="85">
        <v>0</v>
      </c>
      <c r="G140" s="85">
        <v>0</v>
      </c>
      <c r="H140" s="85">
        <v>0</v>
      </c>
      <c r="I140" s="85"/>
      <c r="J140" s="85"/>
    </row>
    <row r="141" customHeight="1" spans="1:10">
      <c r="A141" s="27">
        <v>5</v>
      </c>
      <c r="B141" s="11" t="s">
        <v>308</v>
      </c>
      <c r="C141" s="4" t="s">
        <v>309</v>
      </c>
      <c r="D141" s="15" t="s">
        <v>41</v>
      </c>
      <c r="E141" s="85">
        <v>582119.083333333</v>
      </c>
      <c r="F141" s="85">
        <v>0</v>
      </c>
      <c r="G141" s="85">
        <v>0</v>
      </c>
      <c r="H141" s="85">
        <v>0</v>
      </c>
      <c r="I141" s="85"/>
      <c r="J141" s="85"/>
    </row>
    <row r="142" customHeight="1" spans="1:10">
      <c r="A142" s="27">
        <v>6</v>
      </c>
      <c r="B142" s="11" t="s">
        <v>310</v>
      </c>
      <c r="C142" s="4" t="s">
        <v>309</v>
      </c>
      <c r="D142" s="15" t="s">
        <v>41</v>
      </c>
      <c r="E142" s="85">
        <v>582120.083333333</v>
      </c>
      <c r="F142" s="85">
        <v>0</v>
      </c>
      <c r="G142" s="85">
        <v>0</v>
      </c>
      <c r="H142" s="85">
        <v>0</v>
      </c>
      <c r="I142" s="85"/>
      <c r="J142" s="85"/>
    </row>
    <row r="143" customHeight="1" spans="1:10">
      <c r="A143" s="27">
        <v>7</v>
      </c>
      <c r="B143" s="11" t="s">
        <v>313</v>
      </c>
      <c r="C143" s="12" t="s">
        <v>230</v>
      </c>
      <c r="D143" s="15" t="s">
        <v>66</v>
      </c>
      <c r="E143" s="85">
        <v>390248.916666667</v>
      </c>
      <c r="F143" s="85">
        <v>0</v>
      </c>
      <c r="G143" s="85">
        <v>0</v>
      </c>
      <c r="H143" s="85">
        <v>0</v>
      </c>
      <c r="I143" s="85"/>
      <c r="J143" s="85"/>
    </row>
    <row r="144" customHeight="1" spans="1:10">
      <c r="A144" s="27">
        <v>8</v>
      </c>
      <c r="B144" s="11" t="s">
        <v>314</v>
      </c>
      <c r="C144" s="4" t="s">
        <v>563</v>
      </c>
      <c r="D144" s="15" t="s">
        <v>66</v>
      </c>
      <c r="E144" s="85">
        <v>390248.916666667</v>
      </c>
      <c r="F144" s="85">
        <v>0</v>
      </c>
      <c r="G144" s="85">
        <v>0</v>
      </c>
      <c r="H144" s="85">
        <v>0</v>
      </c>
      <c r="I144" s="85"/>
      <c r="J144" s="85"/>
    </row>
    <row r="145" customHeight="1" spans="1:10">
      <c r="A145" s="27">
        <v>9</v>
      </c>
      <c r="B145" s="11" t="s">
        <v>316</v>
      </c>
      <c r="C145" s="12" t="s">
        <v>564</v>
      </c>
      <c r="D145" s="15" t="s">
        <v>69</v>
      </c>
      <c r="E145" s="85">
        <v>377895.166666667</v>
      </c>
      <c r="F145" s="15" t="s">
        <v>170</v>
      </c>
      <c r="G145" s="822">
        <v>390086.5</v>
      </c>
      <c r="H145" s="85">
        <f>G145-E145</f>
        <v>12191.333333333</v>
      </c>
      <c r="I145" s="85">
        <f>H145*4</f>
        <v>48765.3333333321</v>
      </c>
      <c r="J145" s="85"/>
    </row>
    <row r="146" customHeight="1" spans="1:10">
      <c r="A146" s="27">
        <v>10</v>
      </c>
      <c r="B146" s="11" t="s">
        <v>318</v>
      </c>
      <c r="C146" s="12" t="s">
        <v>319</v>
      </c>
      <c r="D146" s="15" t="s">
        <v>131</v>
      </c>
      <c r="E146" s="85">
        <v>365703.833333333</v>
      </c>
      <c r="F146" s="15" t="s">
        <v>69</v>
      </c>
      <c r="G146" s="822">
        <v>377895.166666667</v>
      </c>
      <c r="H146" s="85">
        <f t="shared" ref="H146:H177" si="9">G146-E146</f>
        <v>12191.333333334</v>
      </c>
      <c r="I146" s="85">
        <f t="shared" ref="I146:I177" si="10">H146*4</f>
        <v>48765.3333333358</v>
      </c>
      <c r="J146" s="85"/>
    </row>
    <row r="147" customHeight="1" spans="1:10">
      <c r="A147" s="27">
        <v>12</v>
      </c>
      <c r="B147" s="18" t="s">
        <v>320</v>
      </c>
      <c r="C147" s="4" t="s">
        <v>321</v>
      </c>
      <c r="D147" s="15" t="s">
        <v>504</v>
      </c>
      <c r="E147" s="220">
        <v>353512.5</v>
      </c>
      <c r="F147" s="15" t="s">
        <v>131</v>
      </c>
      <c r="G147" s="831">
        <v>365703.833333333</v>
      </c>
      <c r="H147" s="85">
        <f t="shared" si="9"/>
        <v>12191.333333333</v>
      </c>
      <c r="I147" s="85">
        <f t="shared" si="10"/>
        <v>48765.3333333321</v>
      </c>
      <c r="J147" s="85"/>
    </row>
    <row r="148" customHeight="1" spans="1:10">
      <c r="A148" s="27">
        <v>13</v>
      </c>
      <c r="B148" s="11" t="s">
        <v>322</v>
      </c>
      <c r="C148" s="4" t="s">
        <v>321</v>
      </c>
      <c r="D148" s="15" t="s">
        <v>504</v>
      </c>
      <c r="E148" s="220">
        <v>353512.5</v>
      </c>
      <c r="F148" s="85">
        <v>0</v>
      </c>
      <c r="G148" s="85">
        <v>0</v>
      </c>
      <c r="H148" s="85">
        <v>0</v>
      </c>
      <c r="I148" s="85">
        <f t="shared" si="10"/>
        <v>0</v>
      </c>
      <c r="J148" s="85"/>
    </row>
    <row r="149" customHeight="1" spans="1:10">
      <c r="A149" s="27">
        <v>14</v>
      </c>
      <c r="B149" s="11" t="s">
        <v>323</v>
      </c>
      <c r="C149" s="4" t="s">
        <v>321</v>
      </c>
      <c r="D149" s="15" t="s">
        <v>504</v>
      </c>
      <c r="E149" s="220">
        <v>353512.5</v>
      </c>
      <c r="F149" s="85">
        <v>0</v>
      </c>
      <c r="G149" s="85">
        <v>0</v>
      </c>
      <c r="H149" s="85">
        <v>0</v>
      </c>
      <c r="I149" s="85">
        <f t="shared" si="10"/>
        <v>0</v>
      </c>
      <c r="J149" s="85"/>
    </row>
    <row r="150" customHeight="1" spans="1:10">
      <c r="A150" s="27">
        <v>15</v>
      </c>
      <c r="B150" s="11" t="s">
        <v>325</v>
      </c>
      <c r="C150" s="4" t="s">
        <v>321</v>
      </c>
      <c r="D150" s="15" t="s">
        <v>504</v>
      </c>
      <c r="E150" s="220">
        <v>353512.5</v>
      </c>
      <c r="F150" s="15" t="s">
        <v>131</v>
      </c>
      <c r="G150" s="831">
        <v>365703.833333333</v>
      </c>
      <c r="H150" s="85">
        <f t="shared" si="9"/>
        <v>12191.333333333</v>
      </c>
      <c r="I150" s="85">
        <f t="shared" si="10"/>
        <v>48765.3333333321</v>
      </c>
      <c r="J150" s="85"/>
    </row>
    <row r="151" customHeight="1" spans="1:10">
      <c r="A151" s="27">
        <v>16</v>
      </c>
      <c r="B151" s="11" t="s">
        <v>326</v>
      </c>
      <c r="C151" s="12" t="s">
        <v>327</v>
      </c>
      <c r="D151" s="15" t="s">
        <v>74</v>
      </c>
      <c r="E151" s="220">
        <v>300965.583333333</v>
      </c>
      <c r="F151" s="15" t="s">
        <v>77</v>
      </c>
      <c r="G151" s="831">
        <v>308901.5</v>
      </c>
      <c r="H151" s="85">
        <f t="shared" si="9"/>
        <v>7935.91666666698</v>
      </c>
      <c r="I151" s="85">
        <f t="shared" si="10"/>
        <v>31743.6666666679</v>
      </c>
      <c r="J151" s="85"/>
    </row>
    <row r="152" customHeight="1" spans="1:10">
      <c r="A152" s="27">
        <v>17</v>
      </c>
      <c r="B152" s="11" t="s">
        <v>328</v>
      </c>
      <c r="C152" s="12" t="s">
        <v>329</v>
      </c>
      <c r="D152" s="10" t="s">
        <v>99</v>
      </c>
      <c r="E152" s="85">
        <v>263165.333333333</v>
      </c>
      <c r="F152" s="10" t="s">
        <v>88</v>
      </c>
      <c r="G152" s="822">
        <v>270481.666666667</v>
      </c>
      <c r="H152" s="85">
        <f t="shared" si="9"/>
        <v>7316.33333333395</v>
      </c>
      <c r="I152" s="85">
        <f t="shared" si="10"/>
        <v>29265.3333333358</v>
      </c>
      <c r="J152" s="85"/>
    </row>
    <row r="153" customHeight="1" spans="1:10">
      <c r="A153" s="27">
        <v>18</v>
      </c>
      <c r="B153" s="11" t="s">
        <v>330</v>
      </c>
      <c r="C153" s="12" t="s">
        <v>565</v>
      </c>
      <c r="D153" s="15" t="s">
        <v>77</v>
      </c>
      <c r="E153" s="220">
        <v>308901.5</v>
      </c>
      <c r="F153" s="15" t="s">
        <v>151</v>
      </c>
      <c r="G153" s="831">
        <v>316837.416666667</v>
      </c>
      <c r="H153" s="85">
        <f t="shared" si="9"/>
        <v>7935.91666666698</v>
      </c>
      <c r="I153" s="85">
        <f t="shared" si="10"/>
        <v>31743.6666666679</v>
      </c>
      <c r="J153" s="85"/>
    </row>
    <row r="154" customHeight="1" spans="1:10">
      <c r="A154" s="27">
        <v>19</v>
      </c>
      <c r="B154" s="11" t="s">
        <v>332</v>
      </c>
      <c r="C154" s="12" t="s">
        <v>566</v>
      </c>
      <c r="D154" s="15" t="s">
        <v>88</v>
      </c>
      <c r="E154" s="220">
        <v>270481.666666667</v>
      </c>
      <c r="F154" s="15" t="s">
        <v>85</v>
      </c>
      <c r="G154" s="831">
        <v>277798</v>
      </c>
      <c r="H154" s="85">
        <f t="shared" si="9"/>
        <v>7316.33333333302</v>
      </c>
      <c r="I154" s="85">
        <f t="shared" si="10"/>
        <v>29265.3333333321</v>
      </c>
      <c r="J154" s="85"/>
    </row>
    <row r="155" customHeight="1" spans="1:10">
      <c r="A155" s="27">
        <v>20</v>
      </c>
      <c r="B155" s="11" t="s">
        <v>334</v>
      </c>
      <c r="C155" s="12" t="s">
        <v>567</v>
      </c>
      <c r="D155" s="15" t="s">
        <v>77</v>
      </c>
      <c r="E155" s="220">
        <v>308901.5</v>
      </c>
      <c r="F155" s="15" t="s">
        <v>151</v>
      </c>
      <c r="G155" s="831">
        <v>316837.416666667</v>
      </c>
      <c r="H155" s="85">
        <f t="shared" si="9"/>
        <v>7935.91666666698</v>
      </c>
      <c r="I155" s="85">
        <f t="shared" si="10"/>
        <v>31743.6666666679</v>
      </c>
      <c r="J155" s="85"/>
    </row>
    <row r="156" customHeight="1" spans="1:10">
      <c r="A156" s="27">
        <v>21</v>
      </c>
      <c r="B156" s="11" t="s">
        <v>335</v>
      </c>
      <c r="C156" s="12" t="s">
        <v>568</v>
      </c>
      <c r="D156" s="15" t="s">
        <v>88</v>
      </c>
      <c r="E156" s="220">
        <v>270481.666666667</v>
      </c>
      <c r="F156" s="15" t="s">
        <v>85</v>
      </c>
      <c r="G156" s="831">
        <v>277798</v>
      </c>
      <c r="H156" s="85">
        <f t="shared" si="9"/>
        <v>7316.33333333302</v>
      </c>
      <c r="I156" s="85">
        <f t="shared" si="10"/>
        <v>29265.3333333321</v>
      </c>
      <c r="J156" s="85"/>
    </row>
    <row r="157" customHeight="1" spans="1:10">
      <c r="A157" s="27">
        <v>22</v>
      </c>
      <c r="B157" s="18" t="s">
        <v>337</v>
      </c>
      <c r="C157" s="12" t="s">
        <v>338</v>
      </c>
      <c r="D157" s="15" t="s">
        <v>344</v>
      </c>
      <c r="E157" s="220">
        <v>255849</v>
      </c>
      <c r="F157" s="15" t="s">
        <v>99</v>
      </c>
      <c r="G157" s="831">
        <v>263165.333333333</v>
      </c>
      <c r="H157" s="85">
        <f t="shared" si="9"/>
        <v>7316.33333333302</v>
      </c>
      <c r="I157" s="85">
        <f t="shared" si="10"/>
        <v>29265.3333333321</v>
      </c>
      <c r="J157" s="85"/>
    </row>
    <row r="158" customHeight="1" spans="1:10">
      <c r="A158" s="27">
        <v>23</v>
      </c>
      <c r="B158" s="18" t="s">
        <v>339</v>
      </c>
      <c r="C158" s="12" t="s">
        <v>338</v>
      </c>
      <c r="D158" s="15" t="s">
        <v>344</v>
      </c>
      <c r="E158" s="220">
        <v>255849</v>
      </c>
      <c r="F158" s="15" t="s">
        <v>99</v>
      </c>
      <c r="G158" s="831">
        <v>263165.333333333</v>
      </c>
      <c r="H158" s="85">
        <f t="shared" si="9"/>
        <v>7316.33333333302</v>
      </c>
      <c r="I158" s="85">
        <f t="shared" si="10"/>
        <v>29265.3333333321</v>
      </c>
      <c r="J158" s="85"/>
    </row>
    <row r="159" customHeight="1" spans="1:10">
      <c r="A159" s="27">
        <v>24</v>
      </c>
      <c r="B159" s="18" t="s">
        <v>345</v>
      </c>
      <c r="C159" s="12" t="s">
        <v>346</v>
      </c>
      <c r="D159" s="15" t="s">
        <v>111</v>
      </c>
      <c r="E159" s="85">
        <v>224459.75</v>
      </c>
      <c r="F159" s="15" t="s">
        <v>108</v>
      </c>
      <c r="G159" s="822">
        <v>230631.916666667</v>
      </c>
      <c r="H159" s="85">
        <f t="shared" si="9"/>
        <v>6172.16666666701</v>
      </c>
      <c r="I159" s="85">
        <f t="shared" si="10"/>
        <v>24688.666666668</v>
      </c>
      <c r="J159" s="85"/>
    </row>
    <row r="160" customHeight="1" spans="1:10">
      <c r="A160" s="27">
        <v>25</v>
      </c>
      <c r="B160" s="18" t="s">
        <v>347</v>
      </c>
      <c r="C160" s="12" t="s">
        <v>348</v>
      </c>
      <c r="D160" s="15" t="s">
        <v>111</v>
      </c>
      <c r="E160" s="85">
        <v>224459.75</v>
      </c>
      <c r="F160" s="15" t="s">
        <v>108</v>
      </c>
      <c r="G160" s="822">
        <v>230631.916666667</v>
      </c>
      <c r="H160" s="85">
        <f t="shared" si="9"/>
        <v>6172.16666666701</v>
      </c>
      <c r="I160" s="85">
        <f t="shared" si="10"/>
        <v>24688.666666668</v>
      </c>
      <c r="J160" s="85"/>
    </row>
    <row r="161" customHeight="1" spans="1:10">
      <c r="A161" s="27">
        <v>26</v>
      </c>
      <c r="B161" s="18" t="s">
        <v>349</v>
      </c>
      <c r="C161" s="12" t="s">
        <v>350</v>
      </c>
      <c r="D161" s="15" t="s">
        <v>111</v>
      </c>
      <c r="E161" s="85">
        <v>224459.75</v>
      </c>
      <c r="F161" s="15" t="s">
        <v>108</v>
      </c>
      <c r="G161" s="822">
        <v>230631.916666667</v>
      </c>
      <c r="H161" s="85">
        <f t="shared" si="9"/>
        <v>6172.16666666701</v>
      </c>
      <c r="I161" s="85">
        <f t="shared" si="10"/>
        <v>24688.666666668</v>
      </c>
      <c r="J161" s="85"/>
    </row>
    <row r="162" customHeight="1" spans="1:10">
      <c r="A162" s="27">
        <v>27</v>
      </c>
      <c r="B162" s="18" t="s">
        <v>351</v>
      </c>
      <c r="C162" s="12" t="s">
        <v>569</v>
      </c>
      <c r="D162" s="15" t="s">
        <v>108</v>
      </c>
      <c r="E162" s="85">
        <v>230631.916666667</v>
      </c>
      <c r="F162" s="15" t="s">
        <v>105</v>
      </c>
      <c r="G162" s="822">
        <v>236804.083333333</v>
      </c>
      <c r="H162" s="85">
        <f t="shared" si="9"/>
        <v>6172.16666666599</v>
      </c>
      <c r="I162" s="85">
        <f t="shared" si="10"/>
        <v>24688.666666664</v>
      </c>
      <c r="J162" s="85"/>
    </row>
    <row r="163" customHeight="1" spans="1:10">
      <c r="A163" s="27">
        <v>28</v>
      </c>
      <c r="B163" s="18" t="s">
        <v>352</v>
      </c>
      <c r="C163" s="12" t="s">
        <v>348</v>
      </c>
      <c r="D163" s="15" t="s">
        <v>111</v>
      </c>
      <c r="E163" s="85">
        <v>224459.75</v>
      </c>
      <c r="F163" s="15" t="s">
        <v>108</v>
      </c>
      <c r="G163" s="822">
        <v>230631.916666667</v>
      </c>
      <c r="H163" s="85">
        <f t="shared" si="9"/>
        <v>6172.16666666701</v>
      </c>
      <c r="I163" s="85">
        <f t="shared" si="10"/>
        <v>24688.666666668</v>
      </c>
      <c r="J163" s="85"/>
    </row>
    <row r="164" customHeight="1" spans="1:10">
      <c r="A164" s="27">
        <v>29</v>
      </c>
      <c r="B164" s="18" t="s">
        <v>353</v>
      </c>
      <c r="C164" s="12" t="s">
        <v>354</v>
      </c>
      <c r="D164" s="15" t="s">
        <v>276</v>
      </c>
      <c r="E164" s="676">
        <f>218287.583333333</f>
        <v>218287.583333333</v>
      </c>
      <c r="F164" s="15" t="s">
        <v>111</v>
      </c>
      <c r="G164" s="823">
        <v>224459.75</v>
      </c>
      <c r="H164" s="85">
        <f t="shared" si="9"/>
        <v>6172.16666666701</v>
      </c>
      <c r="I164" s="85">
        <f t="shared" si="10"/>
        <v>24688.666666668</v>
      </c>
      <c r="J164" s="85"/>
    </row>
    <row r="165" customHeight="1" spans="1:10">
      <c r="A165" s="27">
        <v>30</v>
      </c>
      <c r="B165" s="18" t="s">
        <v>355</v>
      </c>
      <c r="C165" s="12" t="s">
        <v>354</v>
      </c>
      <c r="D165" s="15" t="s">
        <v>276</v>
      </c>
      <c r="E165" s="676">
        <f>218287.583333333</f>
        <v>218287.583333333</v>
      </c>
      <c r="F165" s="15" t="s">
        <v>111</v>
      </c>
      <c r="G165" s="823">
        <v>224459.75</v>
      </c>
      <c r="H165" s="85">
        <f t="shared" si="9"/>
        <v>6172.16666666701</v>
      </c>
      <c r="I165" s="85">
        <f t="shared" si="10"/>
        <v>24688.666666668</v>
      </c>
      <c r="J165" s="85"/>
    </row>
    <row r="166" customHeight="1" spans="1:10">
      <c r="A166" s="27">
        <v>31</v>
      </c>
      <c r="B166" s="11" t="s">
        <v>361</v>
      </c>
      <c r="C166" s="12" t="s">
        <v>362</v>
      </c>
      <c r="D166" s="15" t="s">
        <v>388</v>
      </c>
      <c r="E166" s="226">
        <v>168598.166666667</v>
      </c>
      <c r="F166" s="15" t="s">
        <v>375</v>
      </c>
      <c r="G166" s="836">
        <v>173859.5</v>
      </c>
      <c r="H166" s="85">
        <f t="shared" si="9"/>
        <v>5261.33333333299</v>
      </c>
      <c r="I166" s="85">
        <f t="shared" si="10"/>
        <v>21045.333333332</v>
      </c>
      <c r="J166" s="220"/>
    </row>
    <row r="167" customHeight="1" spans="1:10">
      <c r="A167" s="27">
        <v>32</v>
      </c>
      <c r="B167" s="11" t="s">
        <v>364</v>
      </c>
      <c r="C167" s="12" t="s">
        <v>362</v>
      </c>
      <c r="D167" s="15" t="s">
        <v>388</v>
      </c>
      <c r="E167" s="226">
        <v>168598.166666667</v>
      </c>
      <c r="F167" s="15" t="s">
        <v>375</v>
      </c>
      <c r="G167" s="836">
        <v>173859.5</v>
      </c>
      <c r="H167" s="85">
        <f t="shared" si="9"/>
        <v>5261.33333333299</v>
      </c>
      <c r="I167" s="85">
        <f t="shared" si="10"/>
        <v>21045.333333332</v>
      </c>
      <c r="J167" s="220"/>
    </row>
    <row r="168" customHeight="1" spans="1:10">
      <c r="A168" s="27">
        <v>33</v>
      </c>
      <c r="B168" s="11" t="s">
        <v>570</v>
      </c>
      <c r="C168" s="12" t="s">
        <v>362</v>
      </c>
      <c r="D168" s="15" t="s">
        <v>388</v>
      </c>
      <c r="E168" s="226">
        <v>168598.166666667</v>
      </c>
      <c r="F168" s="15" t="s">
        <v>375</v>
      </c>
      <c r="G168" s="836">
        <v>173859.5</v>
      </c>
      <c r="H168" s="85">
        <f t="shared" si="9"/>
        <v>5261.33333333299</v>
      </c>
      <c r="I168" s="85">
        <f t="shared" si="10"/>
        <v>21045.333333332</v>
      </c>
      <c r="J168" s="220"/>
    </row>
    <row r="169" customHeight="1" spans="1:10">
      <c r="A169" s="27">
        <v>34</v>
      </c>
      <c r="B169" s="11" t="s">
        <v>365</v>
      </c>
      <c r="C169" s="12" t="s">
        <v>362</v>
      </c>
      <c r="D169" s="15" t="s">
        <v>388</v>
      </c>
      <c r="E169" s="226">
        <v>168598.166666667</v>
      </c>
      <c r="F169" s="15" t="s">
        <v>375</v>
      </c>
      <c r="G169" s="836">
        <v>173859.5</v>
      </c>
      <c r="H169" s="85">
        <f t="shared" si="9"/>
        <v>5261.33333333299</v>
      </c>
      <c r="I169" s="85">
        <f t="shared" si="10"/>
        <v>21045.333333332</v>
      </c>
      <c r="J169" s="220"/>
    </row>
    <row r="170" customHeight="1" spans="1:10">
      <c r="A170" s="27">
        <v>35</v>
      </c>
      <c r="B170" s="11" t="s">
        <v>366</v>
      </c>
      <c r="C170" s="12" t="s">
        <v>362</v>
      </c>
      <c r="D170" s="15" t="s">
        <v>388</v>
      </c>
      <c r="E170" s="226">
        <v>168598.166666667</v>
      </c>
      <c r="F170" s="15" t="s">
        <v>375</v>
      </c>
      <c r="G170" s="836">
        <v>173859.5</v>
      </c>
      <c r="H170" s="85">
        <f t="shared" si="9"/>
        <v>5261.33333333299</v>
      </c>
      <c r="I170" s="85">
        <f t="shared" si="10"/>
        <v>21045.333333332</v>
      </c>
      <c r="J170" s="220"/>
    </row>
    <row r="171" customHeight="1" spans="1:10">
      <c r="A171" s="27">
        <v>36</v>
      </c>
      <c r="B171" s="11" t="s">
        <v>367</v>
      </c>
      <c r="C171" s="12" t="s">
        <v>362</v>
      </c>
      <c r="D171" s="15" t="s">
        <v>381</v>
      </c>
      <c r="E171" s="226">
        <v>163336.833333333</v>
      </c>
      <c r="F171" s="15" t="s">
        <v>388</v>
      </c>
      <c r="G171" s="836">
        <v>168598.166666667</v>
      </c>
      <c r="H171" s="85">
        <f t="shared" si="9"/>
        <v>5261.33333333401</v>
      </c>
      <c r="I171" s="85">
        <f t="shared" si="10"/>
        <v>21045.333333336</v>
      </c>
      <c r="J171" s="220"/>
    </row>
    <row r="172" customHeight="1" spans="1:10">
      <c r="A172" s="27">
        <v>37</v>
      </c>
      <c r="B172" s="11" t="s">
        <v>369</v>
      </c>
      <c r="C172" s="12" t="s">
        <v>362</v>
      </c>
      <c r="D172" s="15" t="s">
        <v>381</v>
      </c>
      <c r="E172" s="226">
        <v>163336.833333333</v>
      </c>
      <c r="F172" s="15" t="s">
        <v>388</v>
      </c>
      <c r="G172" s="836">
        <v>168598.166666667</v>
      </c>
      <c r="H172" s="85">
        <f t="shared" si="9"/>
        <v>5261.33333333401</v>
      </c>
      <c r="I172" s="85">
        <f t="shared" si="10"/>
        <v>21045.333333336</v>
      </c>
      <c r="J172" s="220"/>
    </row>
    <row r="173" customHeight="1" spans="1:10">
      <c r="A173" s="27">
        <v>38</v>
      </c>
      <c r="B173" s="14" t="s">
        <v>370</v>
      </c>
      <c r="C173" s="12" t="s">
        <v>362</v>
      </c>
      <c r="D173" s="15" t="s">
        <v>381</v>
      </c>
      <c r="E173" s="226">
        <v>163336.833333333</v>
      </c>
      <c r="F173" s="15" t="s">
        <v>388</v>
      </c>
      <c r="G173" s="836">
        <v>168598.166666667</v>
      </c>
      <c r="H173" s="85">
        <f t="shared" si="9"/>
        <v>5261.33333333401</v>
      </c>
      <c r="I173" s="85">
        <f t="shared" si="10"/>
        <v>21045.333333336</v>
      </c>
      <c r="J173" s="220"/>
    </row>
    <row r="174" customHeight="1" spans="1:10">
      <c r="A174" s="27">
        <v>39</v>
      </c>
      <c r="B174" s="11" t="s">
        <v>371</v>
      </c>
      <c r="C174" s="12" t="s">
        <v>362</v>
      </c>
      <c r="D174" s="15" t="s">
        <v>381</v>
      </c>
      <c r="E174" s="226">
        <v>163336.833333333</v>
      </c>
      <c r="F174" s="15" t="s">
        <v>388</v>
      </c>
      <c r="G174" s="836">
        <v>168598.166666667</v>
      </c>
      <c r="H174" s="85">
        <f t="shared" si="9"/>
        <v>5261.33333333401</v>
      </c>
      <c r="I174" s="85">
        <f t="shared" si="10"/>
        <v>21045.333333336</v>
      </c>
      <c r="J174" s="220"/>
    </row>
    <row r="175" customHeight="1" spans="1:10">
      <c r="A175" s="27">
        <v>40</v>
      </c>
      <c r="B175" s="18" t="s">
        <v>372</v>
      </c>
      <c r="C175" s="12" t="s">
        <v>362</v>
      </c>
      <c r="D175" s="15" t="s">
        <v>381</v>
      </c>
      <c r="E175" s="226">
        <v>163336.833333333</v>
      </c>
      <c r="F175" s="15" t="s">
        <v>388</v>
      </c>
      <c r="G175" s="836">
        <v>168598.166666667</v>
      </c>
      <c r="H175" s="85">
        <f t="shared" si="9"/>
        <v>5261.33333333401</v>
      </c>
      <c r="I175" s="85">
        <f t="shared" si="10"/>
        <v>21045.333333336</v>
      </c>
      <c r="J175" s="220"/>
    </row>
    <row r="176" customHeight="1" spans="1:10">
      <c r="A176" s="27">
        <v>41</v>
      </c>
      <c r="B176" s="18" t="s">
        <v>359</v>
      </c>
      <c r="C176" s="12" t="s">
        <v>362</v>
      </c>
      <c r="D176" s="15" t="s">
        <v>381</v>
      </c>
      <c r="E176" s="226">
        <v>163336.833333333</v>
      </c>
      <c r="F176" s="15" t="s">
        <v>388</v>
      </c>
      <c r="G176" s="836">
        <v>168598.166666667</v>
      </c>
      <c r="H176" s="85">
        <f t="shared" si="9"/>
        <v>5261.33333333401</v>
      </c>
      <c r="I176" s="85">
        <f t="shared" si="10"/>
        <v>21045.333333336</v>
      </c>
      <c r="J176" s="220"/>
    </row>
    <row r="177" customHeight="1" spans="1:10">
      <c r="A177" s="27">
        <v>42</v>
      </c>
      <c r="B177" s="11" t="s">
        <v>373</v>
      </c>
      <c r="C177" s="12" t="s">
        <v>374</v>
      </c>
      <c r="D177" s="15" t="s">
        <v>511</v>
      </c>
      <c r="E177" s="85">
        <v>152814.166666667</v>
      </c>
      <c r="F177" s="15" t="s">
        <v>510</v>
      </c>
      <c r="G177" s="822">
        <v>158075.5</v>
      </c>
      <c r="H177" s="85">
        <f t="shared" si="9"/>
        <v>5261.33333333299</v>
      </c>
      <c r="I177" s="85">
        <f t="shared" si="10"/>
        <v>21045.333333332</v>
      </c>
      <c r="J177" s="220"/>
    </row>
    <row r="178" customHeight="1" spans="1:10">
      <c r="A178" s="27">
        <v>43</v>
      </c>
      <c r="B178" s="11" t="s">
        <v>376</v>
      </c>
      <c r="C178" s="12" t="s">
        <v>374</v>
      </c>
      <c r="D178" s="15" t="s">
        <v>511</v>
      </c>
      <c r="E178" s="85">
        <v>152814.166666667</v>
      </c>
      <c r="F178" s="15" t="s">
        <v>510</v>
      </c>
      <c r="G178" s="822">
        <v>158075.5</v>
      </c>
      <c r="H178" s="85">
        <f t="shared" ref="H178:H197" si="11">G178-E178</f>
        <v>5261.33333333299</v>
      </c>
      <c r="I178" s="85">
        <f t="shared" ref="I178:I197" si="12">H178*4</f>
        <v>21045.333333332</v>
      </c>
      <c r="J178" s="220"/>
    </row>
    <row r="179" customHeight="1" spans="1:10">
      <c r="A179" s="27">
        <v>44</v>
      </c>
      <c r="B179" s="18" t="s">
        <v>377</v>
      </c>
      <c r="C179" s="12" t="s">
        <v>374</v>
      </c>
      <c r="D179" s="15" t="s">
        <v>510</v>
      </c>
      <c r="E179" s="85">
        <v>158075.5</v>
      </c>
      <c r="F179" s="15" t="s">
        <v>381</v>
      </c>
      <c r="G179" s="822">
        <v>163336.833333333</v>
      </c>
      <c r="H179" s="85">
        <f t="shared" si="11"/>
        <v>5261.33333333299</v>
      </c>
      <c r="I179" s="85">
        <f t="shared" si="12"/>
        <v>21045.333333332</v>
      </c>
      <c r="J179" s="220"/>
    </row>
    <row r="180" customHeight="1" spans="1:10">
      <c r="A180" s="27">
        <v>45</v>
      </c>
      <c r="B180" s="11" t="s">
        <v>379</v>
      </c>
      <c r="C180" s="12" t="s">
        <v>393</v>
      </c>
      <c r="D180" s="15" t="s">
        <v>511</v>
      </c>
      <c r="E180" s="85">
        <v>152814.166666667</v>
      </c>
      <c r="F180" s="85">
        <v>0</v>
      </c>
      <c r="G180" s="85">
        <v>0</v>
      </c>
      <c r="H180" s="85">
        <v>0</v>
      </c>
      <c r="I180" s="85">
        <f t="shared" si="12"/>
        <v>0</v>
      </c>
      <c r="J180" s="220"/>
    </row>
    <row r="181" customHeight="1" spans="1:10">
      <c r="A181" s="27">
        <v>46</v>
      </c>
      <c r="B181" s="11" t="s">
        <v>382</v>
      </c>
      <c r="C181" s="12" t="s">
        <v>390</v>
      </c>
      <c r="D181" s="15" t="s">
        <v>573</v>
      </c>
      <c r="E181" s="85">
        <v>91598</v>
      </c>
      <c r="F181" s="15" t="s">
        <v>571</v>
      </c>
      <c r="G181" s="822">
        <v>94145.75</v>
      </c>
      <c r="H181" s="85">
        <f t="shared" si="11"/>
        <v>2547.75</v>
      </c>
      <c r="I181" s="85">
        <f t="shared" si="12"/>
        <v>10191</v>
      </c>
      <c r="J181" s="220"/>
    </row>
    <row r="182" customHeight="1" spans="1:10">
      <c r="A182" s="27">
        <v>47</v>
      </c>
      <c r="B182" s="11" t="s">
        <v>383</v>
      </c>
      <c r="C182" s="12" t="s">
        <v>390</v>
      </c>
      <c r="D182" s="15" t="s">
        <v>573</v>
      </c>
      <c r="E182" s="85">
        <v>91598</v>
      </c>
      <c r="F182" s="15" t="s">
        <v>571</v>
      </c>
      <c r="G182" s="822">
        <v>94145.75</v>
      </c>
      <c r="H182" s="85">
        <f t="shared" si="11"/>
        <v>2547.75</v>
      </c>
      <c r="I182" s="85">
        <f t="shared" si="12"/>
        <v>10191</v>
      </c>
      <c r="J182" s="220"/>
    </row>
    <row r="183" customHeight="1" spans="1:10">
      <c r="A183" s="27">
        <v>48</v>
      </c>
      <c r="B183" s="11" t="s">
        <v>384</v>
      </c>
      <c r="C183" s="12" t="s">
        <v>390</v>
      </c>
      <c r="D183" s="15" t="s">
        <v>573</v>
      </c>
      <c r="E183" s="85">
        <v>91598</v>
      </c>
      <c r="F183" s="15" t="s">
        <v>571</v>
      </c>
      <c r="G183" s="822">
        <v>94145.75</v>
      </c>
      <c r="H183" s="85">
        <f t="shared" si="11"/>
        <v>2547.75</v>
      </c>
      <c r="I183" s="85">
        <f t="shared" si="12"/>
        <v>10191</v>
      </c>
      <c r="J183" s="220"/>
    </row>
    <row r="184" customHeight="1" spans="1:10">
      <c r="A184" s="27">
        <v>49</v>
      </c>
      <c r="B184" s="11" t="s">
        <v>385</v>
      </c>
      <c r="C184" s="12" t="s">
        <v>390</v>
      </c>
      <c r="D184" s="15" t="s">
        <v>573</v>
      </c>
      <c r="E184" s="85">
        <v>91598</v>
      </c>
      <c r="F184" s="15" t="s">
        <v>571</v>
      </c>
      <c r="G184" s="822">
        <v>94145.75</v>
      </c>
      <c r="H184" s="85">
        <f t="shared" si="11"/>
        <v>2547.75</v>
      </c>
      <c r="I184" s="85">
        <f t="shared" si="12"/>
        <v>10191</v>
      </c>
      <c r="J184" s="220"/>
    </row>
    <row r="185" customHeight="1" spans="1:10">
      <c r="A185" s="27">
        <v>50</v>
      </c>
      <c r="B185" s="11" t="s">
        <v>386</v>
      </c>
      <c r="C185" s="12" t="s">
        <v>390</v>
      </c>
      <c r="D185" s="15" t="s">
        <v>573</v>
      </c>
      <c r="E185" s="85">
        <v>91598</v>
      </c>
      <c r="F185" s="15" t="s">
        <v>571</v>
      </c>
      <c r="G185" s="822">
        <v>94145.75</v>
      </c>
      <c r="H185" s="85">
        <f t="shared" si="11"/>
        <v>2547.75</v>
      </c>
      <c r="I185" s="85">
        <f t="shared" si="12"/>
        <v>10191</v>
      </c>
      <c r="J185" s="220"/>
    </row>
    <row r="186" customHeight="1" spans="1:10">
      <c r="A186" s="27">
        <v>51</v>
      </c>
      <c r="B186" s="18" t="s">
        <v>387</v>
      </c>
      <c r="C186" s="12" t="s">
        <v>390</v>
      </c>
      <c r="D186" s="15" t="s">
        <v>573</v>
      </c>
      <c r="E186" s="85">
        <v>91598</v>
      </c>
      <c r="F186" s="15" t="s">
        <v>571</v>
      </c>
      <c r="G186" s="822">
        <v>94145.75</v>
      </c>
      <c r="H186" s="85">
        <f t="shared" si="11"/>
        <v>2547.75</v>
      </c>
      <c r="I186" s="85">
        <f t="shared" si="12"/>
        <v>10191</v>
      </c>
      <c r="J186" s="220"/>
    </row>
    <row r="187" customHeight="1" spans="1:10">
      <c r="A187" s="27">
        <v>52</v>
      </c>
      <c r="B187" s="18" t="s">
        <v>389</v>
      </c>
      <c r="C187" s="12" t="s">
        <v>390</v>
      </c>
      <c r="D187" s="15" t="s">
        <v>573</v>
      </c>
      <c r="E187" s="85">
        <v>91598</v>
      </c>
      <c r="F187" s="15" t="s">
        <v>571</v>
      </c>
      <c r="G187" s="822">
        <v>94145.75</v>
      </c>
      <c r="H187" s="85">
        <f t="shared" si="11"/>
        <v>2547.75</v>
      </c>
      <c r="I187" s="85">
        <f t="shared" si="12"/>
        <v>10191</v>
      </c>
      <c r="J187" s="220"/>
    </row>
    <row r="188" customHeight="1" spans="1:10">
      <c r="A188" s="27">
        <v>53</v>
      </c>
      <c r="B188" s="11" t="s">
        <v>572</v>
      </c>
      <c r="C188" s="12" t="s">
        <v>393</v>
      </c>
      <c r="D188" s="15" t="s">
        <v>573</v>
      </c>
      <c r="E188" s="85">
        <v>91598</v>
      </c>
      <c r="F188" s="15"/>
      <c r="G188" s="822"/>
      <c r="H188" s="85"/>
      <c r="I188" s="85"/>
      <c r="J188" s="220"/>
    </row>
    <row r="189" customHeight="1" spans="1:10">
      <c r="A189" s="27">
        <v>54</v>
      </c>
      <c r="B189" s="11" t="s">
        <v>392</v>
      </c>
      <c r="C189" s="12" t="s">
        <v>393</v>
      </c>
      <c r="D189" s="15" t="s">
        <v>573</v>
      </c>
      <c r="E189" s="85">
        <v>91598</v>
      </c>
      <c r="F189" s="15" t="s">
        <v>571</v>
      </c>
      <c r="G189" s="822">
        <v>94145.75</v>
      </c>
      <c r="H189" s="85">
        <f t="shared" si="11"/>
        <v>2547.75</v>
      </c>
      <c r="I189" s="85">
        <f t="shared" si="12"/>
        <v>10191</v>
      </c>
      <c r="J189" s="220"/>
    </row>
    <row r="190" customHeight="1" spans="1:10">
      <c r="A190" s="27">
        <v>55</v>
      </c>
      <c r="B190" s="18" t="s">
        <v>360</v>
      </c>
      <c r="C190" s="12" t="s">
        <v>395</v>
      </c>
      <c r="D190" s="15" t="s">
        <v>396</v>
      </c>
      <c r="E190" s="85">
        <v>89050.25</v>
      </c>
      <c r="F190" s="15" t="s">
        <v>573</v>
      </c>
      <c r="G190" s="822">
        <v>91598</v>
      </c>
      <c r="H190" s="85">
        <f t="shared" si="11"/>
        <v>2547.75</v>
      </c>
      <c r="I190" s="85">
        <f t="shared" si="12"/>
        <v>10191</v>
      </c>
      <c r="J190" s="220"/>
    </row>
    <row r="191" customHeight="1" spans="1:10">
      <c r="A191" s="27">
        <v>56</v>
      </c>
      <c r="B191" s="18" t="s">
        <v>394</v>
      </c>
      <c r="C191" s="12" t="s">
        <v>395</v>
      </c>
      <c r="D191" s="15" t="s">
        <v>400</v>
      </c>
      <c r="E191" s="85">
        <v>83955</v>
      </c>
      <c r="F191" s="15" t="s">
        <v>398</v>
      </c>
      <c r="G191" s="822">
        <v>86502.5</v>
      </c>
      <c r="H191" s="85">
        <f t="shared" si="11"/>
        <v>2547.5</v>
      </c>
      <c r="I191" s="85">
        <f t="shared" si="12"/>
        <v>10190</v>
      </c>
      <c r="J191" s="220"/>
    </row>
    <row r="192" customHeight="1" spans="1:10">
      <c r="A192" s="27">
        <v>57</v>
      </c>
      <c r="B192" s="18" t="s">
        <v>397</v>
      </c>
      <c r="C192" s="12" t="s">
        <v>374</v>
      </c>
      <c r="D192" s="15" t="s">
        <v>511</v>
      </c>
      <c r="E192" s="85">
        <v>152814.166666667</v>
      </c>
      <c r="F192" s="85">
        <v>0</v>
      </c>
      <c r="G192" s="85">
        <v>0</v>
      </c>
      <c r="H192" s="85">
        <v>0</v>
      </c>
      <c r="I192" s="85">
        <f t="shared" si="12"/>
        <v>0</v>
      </c>
      <c r="J192" s="220"/>
    </row>
    <row r="193" customHeight="1" spans="1:10">
      <c r="A193" s="27">
        <v>58</v>
      </c>
      <c r="B193" s="18" t="s">
        <v>401</v>
      </c>
      <c r="C193" s="12" t="s">
        <v>402</v>
      </c>
      <c r="D193" s="15" t="s">
        <v>865</v>
      </c>
      <c r="E193" s="85">
        <v>76540.75</v>
      </c>
      <c r="F193" s="15" t="s">
        <v>513</v>
      </c>
      <c r="G193" s="822">
        <v>78733.8333333333</v>
      </c>
      <c r="H193" s="85">
        <f t="shared" si="11"/>
        <v>2193.0833333333</v>
      </c>
      <c r="I193" s="85">
        <f t="shared" si="12"/>
        <v>8772.3333333332</v>
      </c>
      <c r="J193" s="118"/>
    </row>
    <row r="194" customHeight="1" spans="1:10">
      <c r="A194" s="27">
        <v>59</v>
      </c>
      <c r="B194" s="18" t="s">
        <v>404</v>
      </c>
      <c r="C194" s="12" t="s">
        <v>402</v>
      </c>
      <c r="D194" s="15" t="s">
        <v>865</v>
      </c>
      <c r="E194" s="85">
        <v>76540.75</v>
      </c>
      <c r="F194" s="15" t="s">
        <v>513</v>
      </c>
      <c r="G194" s="822">
        <v>78733.8333333333</v>
      </c>
      <c r="H194" s="85">
        <f t="shared" si="11"/>
        <v>2193.0833333333</v>
      </c>
      <c r="I194" s="85">
        <f t="shared" si="12"/>
        <v>8772.3333333332</v>
      </c>
      <c r="J194" s="118"/>
    </row>
    <row r="195" customHeight="1" spans="1:10">
      <c r="A195" s="27">
        <v>60</v>
      </c>
      <c r="B195" s="18" t="s">
        <v>405</v>
      </c>
      <c r="C195" s="12" t="s">
        <v>402</v>
      </c>
      <c r="D195" s="15" t="s">
        <v>865</v>
      </c>
      <c r="E195" s="85">
        <v>76540.75</v>
      </c>
      <c r="F195" s="15" t="s">
        <v>513</v>
      </c>
      <c r="G195" s="822">
        <v>78733.8333333333</v>
      </c>
      <c r="H195" s="85">
        <f t="shared" si="11"/>
        <v>2193.0833333333</v>
      </c>
      <c r="I195" s="85">
        <f t="shared" si="12"/>
        <v>8772.3333333332</v>
      </c>
      <c r="J195" s="118"/>
    </row>
    <row r="196" customHeight="1" spans="1:10">
      <c r="A196" s="27">
        <v>61</v>
      </c>
      <c r="B196" s="18" t="s">
        <v>406</v>
      </c>
      <c r="C196" s="12" t="s">
        <v>407</v>
      </c>
      <c r="D196" s="15" t="s">
        <v>398</v>
      </c>
      <c r="E196" s="85">
        <v>86502.5</v>
      </c>
      <c r="F196" s="15" t="s">
        <v>396</v>
      </c>
      <c r="G196" s="822">
        <v>89050.25</v>
      </c>
      <c r="H196" s="85">
        <f t="shared" si="11"/>
        <v>2547.75</v>
      </c>
      <c r="I196" s="85">
        <f t="shared" si="12"/>
        <v>10191</v>
      </c>
      <c r="J196" s="118"/>
    </row>
    <row r="197" customHeight="1" spans="1:10">
      <c r="A197" s="27">
        <v>62</v>
      </c>
      <c r="B197" s="18" t="s">
        <v>409</v>
      </c>
      <c r="C197" s="12" t="s">
        <v>407</v>
      </c>
      <c r="D197" s="15" t="s">
        <v>398</v>
      </c>
      <c r="E197" s="85">
        <v>86502.5</v>
      </c>
      <c r="F197" s="15" t="s">
        <v>396</v>
      </c>
      <c r="G197" s="822">
        <v>89050.25</v>
      </c>
      <c r="H197" s="85">
        <f t="shared" si="11"/>
        <v>2547.75</v>
      </c>
      <c r="I197" s="85">
        <f t="shared" si="12"/>
        <v>10191</v>
      </c>
      <c r="J197" s="118"/>
    </row>
    <row r="198" ht="30.75" customHeight="1" spans="1:10">
      <c r="A198" s="27"/>
      <c r="B198" s="8" t="s">
        <v>120</v>
      </c>
      <c r="C198" s="28" t="s">
        <v>932</v>
      </c>
      <c r="D198" s="29"/>
      <c r="E198" s="93">
        <f>SUM(E138:E197)</f>
        <v>14439396.3033333</v>
      </c>
      <c r="F198" s="93"/>
      <c r="G198" s="93">
        <f>SUM(G138:G197)</f>
        <v>9108568.08333334</v>
      </c>
      <c r="H198" s="93">
        <f>SUM(H138:H197)</f>
        <v>263170.583333336</v>
      </c>
      <c r="I198" s="93">
        <f>SUM(I138:I197)</f>
        <v>1052682.33333334</v>
      </c>
      <c r="J198" s="93"/>
    </row>
    <row r="199" ht="30" customHeight="1" spans="1:10">
      <c r="A199" s="4"/>
      <c r="B199" s="30" t="s">
        <v>411</v>
      </c>
      <c r="C199" s="31">
        <f>C38+C45+C56+C61+C71+C80+C93+C101+C111+C122+C135+C198</f>
        <v>155</v>
      </c>
      <c r="D199" s="32"/>
      <c r="E199" s="227">
        <f>E198+E135+E122+E116+E111+E101+E93+E80+E71+E61+E56+E45+E38</f>
        <v>60564372.3903333</v>
      </c>
      <c r="F199" s="227"/>
      <c r="G199" s="227">
        <f>G198+G135+G122+G116+G111+G101+G93+G80+G71+G61+G56+G45+G38</f>
        <v>34121322.4166667</v>
      </c>
      <c r="H199" s="227">
        <f>H198+H135+H122+H116+H111+H101+H93+H80+H71+H61+H56+H45+H38</f>
        <v>997064.833333339</v>
      </c>
      <c r="I199" s="227">
        <f>I198+I135+I122+I116+I111+I101+I93+I80+I71+I61+I56+I45+I38</f>
        <v>4009861.91666665</v>
      </c>
      <c r="J199" s="227"/>
    </row>
    <row r="200" ht="38.25" customHeight="1" spans="2:10">
      <c r="B200" s="33"/>
      <c r="D200" s="34"/>
      <c r="E200" s="34"/>
      <c r="F200" s="34"/>
      <c r="G200" s="34"/>
      <c r="H200" s="34"/>
      <c r="I200" s="34"/>
      <c r="J200" s="34"/>
    </row>
    <row r="201" ht="36.75" customHeight="1" spans="2:10">
      <c r="B201" s="33"/>
      <c r="C201" s="34"/>
      <c r="D201" s="34"/>
      <c r="E201" s="34"/>
      <c r="F201" s="34"/>
      <c r="G201" s="34"/>
      <c r="H201" s="34"/>
      <c r="I201" s="34"/>
      <c r="J201" s="34"/>
    </row>
  </sheetData>
  <mergeCells count="1">
    <mergeCell ref="A1:I1"/>
  </mergeCells>
  <pageMargins left="0.236220472440945" right="0.236220472440945" top="0.984251968503937" bottom="0.984251968503937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zoomScale="90" zoomScaleNormal="90" zoomScaleSheetLayoutView="50" workbookViewId="0">
      <pane xSplit="3" ySplit="7" topLeftCell="D172" activePane="bottomRight" state="frozen"/>
      <selection/>
      <selection pane="topRight"/>
      <selection pane="bottomLeft"/>
      <selection pane="bottomRight" activeCell="A1" sqref="A1:E5"/>
    </sheetView>
  </sheetViews>
  <sheetFormatPr defaultColWidth="9.13636363636364" defaultRowHeight="20.1" customHeight="1" outlineLevelCol="5"/>
  <cols>
    <col min="1" max="1" width="5.42727272727273" style="1" customWidth="1"/>
    <col min="2" max="2" width="45.0454545454545" style="1" customWidth="1"/>
    <col min="3" max="3" width="49.0818181818182" style="1" customWidth="1"/>
    <col min="4" max="4" width="12.7090909090909" style="1" customWidth="1"/>
    <col min="5" max="5" width="20.8090909090909" style="1" customWidth="1"/>
    <col min="6" max="6" width="13.6363636363636" style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933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809" t="s">
        <v>597</v>
      </c>
    </row>
    <row r="5" ht="17.25" customHeight="1" spans="3:5">
      <c r="C5" s="8"/>
      <c r="D5" s="8"/>
      <c r="E5" s="810" t="s">
        <v>20</v>
      </c>
    </row>
    <row r="6" customHeight="1" spans="1:5">
      <c r="A6" s="9" t="s">
        <v>21</v>
      </c>
      <c r="B6" s="8" t="s">
        <v>22</v>
      </c>
      <c r="C6" s="8"/>
      <c r="D6" s="8"/>
      <c r="E6" s="810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11">
        <v>648000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11">
        <v>216000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11">
        <v>216000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11">
        <v>216000</v>
      </c>
    </row>
    <row r="11" customHeight="1" spans="1:5">
      <c r="A11" s="10">
        <v>5</v>
      </c>
      <c r="B11" s="11" t="s">
        <v>33</v>
      </c>
      <c r="C11" s="12" t="s">
        <v>34</v>
      </c>
      <c r="D11" s="15" t="s">
        <v>506</v>
      </c>
      <c r="E11" s="811">
        <v>216000</v>
      </c>
    </row>
    <row r="12" customHeight="1" spans="1:5">
      <c r="A12" s="10">
        <v>6</v>
      </c>
      <c r="B12" s="11" t="s">
        <v>36</v>
      </c>
      <c r="C12" s="4" t="s">
        <v>37</v>
      </c>
      <c r="D12" s="10" t="s">
        <v>49</v>
      </c>
      <c r="E12" s="811">
        <v>151200</v>
      </c>
    </row>
    <row r="13" customHeight="1" spans="1:5">
      <c r="A13" s="10">
        <v>7</v>
      </c>
      <c r="B13" s="11" t="s">
        <v>39</v>
      </c>
      <c r="C13" s="4" t="s">
        <v>547</v>
      </c>
      <c r="D13" s="15" t="s">
        <v>189</v>
      </c>
      <c r="E13" s="811">
        <v>108000</v>
      </c>
    </row>
    <row r="14" customHeight="1" spans="1:5">
      <c r="A14" s="10">
        <v>8</v>
      </c>
      <c r="B14" s="14" t="s">
        <v>42</v>
      </c>
      <c r="C14" s="17" t="s">
        <v>43</v>
      </c>
      <c r="D14" s="15" t="s">
        <v>49</v>
      </c>
      <c r="E14" s="811">
        <v>151200</v>
      </c>
    </row>
    <row r="15" customHeight="1" spans="1:5">
      <c r="A15" s="10">
        <v>9</v>
      </c>
      <c r="B15" s="11" t="s">
        <v>44</v>
      </c>
      <c r="C15" s="4" t="s">
        <v>45</v>
      </c>
      <c r="D15" s="10" t="s">
        <v>212</v>
      </c>
      <c r="E15" s="811">
        <v>108000</v>
      </c>
    </row>
    <row r="16" customHeight="1" spans="1:5">
      <c r="A16" s="10">
        <v>10</v>
      </c>
      <c r="B16" s="11" t="s">
        <v>47</v>
      </c>
      <c r="C16" s="4" t="s">
        <v>48</v>
      </c>
      <c r="D16" s="10" t="s">
        <v>41</v>
      </c>
      <c r="E16" s="811">
        <v>151200</v>
      </c>
    </row>
    <row r="17" customHeight="1" spans="1:5">
      <c r="A17" s="10">
        <v>11</v>
      </c>
      <c r="B17" s="11" t="s">
        <v>50</v>
      </c>
      <c r="C17" s="12" t="s">
        <v>60</v>
      </c>
      <c r="D17" s="15" t="s">
        <v>55</v>
      </c>
      <c r="E17" s="811">
        <v>108000</v>
      </c>
    </row>
    <row r="18" customHeight="1" spans="1:5">
      <c r="A18" s="10">
        <v>12</v>
      </c>
      <c r="B18" s="18" t="s">
        <v>53</v>
      </c>
      <c r="C18" s="4" t="s">
        <v>54</v>
      </c>
      <c r="D18" s="15" t="s">
        <v>548</v>
      </c>
      <c r="E18" s="811">
        <v>108000</v>
      </c>
    </row>
    <row r="19" customHeight="1" spans="1:5">
      <c r="A19" s="10">
        <v>13</v>
      </c>
      <c r="B19" s="18" t="s">
        <v>56</v>
      </c>
      <c r="C19" s="4" t="s">
        <v>57</v>
      </c>
      <c r="D19" s="15" t="s">
        <v>503</v>
      </c>
      <c r="E19" s="811">
        <v>108000</v>
      </c>
    </row>
    <row r="20" customHeight="1" spans="1:5">
      <c r="A20" s="10">
        <v>14</v>
      </c>
      <c r="B20" s="18" t="s">
        <v>59</v>
      </c>
      <c r="C20" s="4" t="s">
        <v>60</v>
      </c>
      <c r="D20" s="15" t="s">
        <v>503</v>
      </c>
      <c r="E20" s="811">
        <v>108000</v>
      </c>
    </row>
    <row r="21" customHeight="1" spans="1:5">
      <c r="A21" s="10">
        <v>15</v>
      </c>
      <c r="B21" s="11" t="s">
        <v>61</v>
      </c>
      <c r="C21" s="12" t="s">
        <v>549</v>
      </c>
      <c r="D21" s="15" t="s">
        <v>259</v>
      </c>
      <c r="E21" s="811">
        <v>81600</v>
      </c>
    </row>
    <row r="22" ht="18.75" customHeight="1" spans="1:5">
      <c r="A22" s="10">
        <v>16</v>
      </c>
      <c r="B22" s="11" t="s">
        <v>64</v>
      </c>
      <c r="C22" s="12" t="s">
        <v>176</v>
      </c>
      <c r="D22" s="15" t="s">
        <v>170</v>
      </c>
      <c r="E22" s="811">
        <v>81600</v>
      </c>
    </row>
    <row r="23" customHeight="1" spans="1:5">
      <c r="A23" s="10">
        <v>17</v>
      </c>
      <c r="B23" s="14" t="s">
        <v>67</v>
      </c>
      <c r="C23" s="17" t="s">
        <v>68</v>
      </c>
      <c r="D23" s="10" t="s">
        <v>131</v>
      </c>
      <c r="E23" s="811">
        <v>81600</v>
      </c>
    </row>
    <row r="24" ht="21.6" customHeight="1" spans="1:5">
      <c r="A24" s="10">
        <v>18</v>
      </c>
      <c r="B24" s="11" t="s">
        <v>70</v>
      </c>
      <c r="C24" s="17" t="s">
        <v>71</v>
      </c>
      <c r="D24" s="15" t="s">
        <v>131</v>
      </c>
      <c r="E24" s="811">
        <v>81600</v>
      </c>
    </row>
    <row r="25" customHeight="1" spans="1:5">
      <c r="A25" s="10">
        <v>19</v>
      </c>
      <c r="B25" s="14" t="s">
        <v>72</v>
      </c>
      <c r="C25" s="17" t="s">
        <v>73</v>
      </c>
      <c r="D25" s="10" t="s">
        <v>80</v>
      </c>
      <c r="E25" s="811">
        <v>81600</v>
      </c>
    </row>
    <row r="26" customHeight="1" spans="1:5">
      <c r="A26" s="10">
        <v>20</v>
      </c>
      <c r="B26" s="14" t="s">
        <v>75</v>
      </c>
      <c r="C26" s="17" t="s">
        <v>76</v>
      </c>
      <c r="D26" s="10" t="s">
        <v>74</v>
      </c>
      <c r="E26" s="811">
        <v>81600</v>
      </c>
    </row>
    <row r="27" ht="18.75" customHeight="1" spans="1:5">
      <c r="A27" s="10">
        <v>21</v>
      </c>
      <c r="B27" s="4" t="s">
        <v>485</v>
      </c>
      <c r="C27" s="4" t="s">
        <v>94</v>
      </c>
      <c r="D27" s="10" t="s">
        <v>85</v>
      </c>
      <c r="E27" s="811">
        <v>64800</v>
      </c>
    </row>
    <row r="28" ht="18.75" customHeight="1" spans="1:5">
      <c r="A28" s="10">
        <v>22</v>
      </c>
      <c r="B28" s="18" t="s">
        <v>78</v>
      </c>
      <c r="C28" s="12" t="s">
        <v>94</v>
      </c>
      <c r="D28" s="15" t="s">
        <v>85</v>
      </c>
      <c r="E28" s="811">
        <v>64800</v>
      </c>
    </row>
    <row r="29" customHeight="1" spans="1:5">
      <c r="A29" s="10">
        <v>23</v>
      </c>
      <c r="B29" s="11" t="s">
        <v>81</v>
      </c>
      <c r="C29" s="17" t="s">
        <v>68</v>
      </c>
      <c r="D29" s="10" t="s">
        <v>85</v>
      </c>
      <c r="E29" s="811">
        <v>64800</v>
      </c>
    </row>
    <row r="30" ht="18.75" customHeight="1" spans="1:5">
      <c r="A30" s="10">
        <v>24</v>
      </c>
      <c r="B30" s="18" t="s">
        <v>83</v>
      </c>
      <c r="C30" s="12" t="s">
        <v>84</v>
      </c>
      <c r="D30" s="15" t="s">
        <v>88</v>
      </c>
      <c r="E30" s="811">
        <v>64800</v>
      </c>
    </row>
    <row r="31" ht="18.75" customHeight="1" spans="1:5">
      <c r="A31" s="10">
        <v>25</v>
      </c>
      <c r="B31" s="18" t="s">
        <v>86</v>
      </c>
      <c r="C31" s="4" t="s">
        <v>87</v>
      </c>
      <c r="D31" s="10" t="s">
        <v>99</v>
      </c>
      <c r="E31" s="811">
        <v>64800</v>
      </c>
    </row>
    <row r="32" ht="18.75" customHeight="1" spans="1:5">
      <c r="A32" s="10">
        <v>26</v>
      </c>
      <c r="B32" s="18" t="s">
        <v>89</v>
      </c>
      <c r="C32" s="4" t="s">
        <v>87</v>
      </c>
      <c r="D32" s="10" t="s">
        <v>99</v>
      </c>
      <c r="E32" s="811">
        <v>64800</v>
      </c>
    </row>
    <row r="33" ht="18.75" customHeight="1" spans="1:5">
      <c r="A33" s="10">
        <v>27</v>
      </c>
      <c r="B33" s="18" t="s">
        <v>91</v>
      </c>
      <c r="C33" s="17" t="s">
        <v>550</v>
      </c>
      <c r="D33" s="15" t="s">
        <v>85</v>
      </c>
      <c r="E33" s="811">
        <v>64800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99</v>
      </c>
      <c r="E34" s="811">
        <v>64800</v>
      </c>
    </row>
    <row r="35" ht="18.75" customHeight="1" spans="1:5">
      <c r="A35" s="10">
        <v>29</v>
      </c>
      <c r="B35" s="18" t="s">
        <v>95</v>
      </c>
      <c r="C35" s="4" t="s">
        <v>551</v>
      </c>
      <c r="D35" s="10" t="s">
        <v>99</v>
      </c>
      <c r="E35" s="811">
        <v>64800</v>
      </c>
    </row>
    <row r="36" ht="18.75" customHeight="1" spans="1:5">
      <c r="A36" s="10">
        <v>30</v>
      </c>
      <c r="B36" s="18" t="s">
        <v>103</v>
      </c>
      <c r="C36" s="12" t="s">
        <v>104</v>
      </c>
      <c r="D36" s="15" t="s">
        <v>108</v>
      </c>
      <c r="E36" s="811">
        <v>64800</v>
      </c>
    </row>
    <row r="37" ht="18.75" customHeight="1" spans="1:5">
      <c r="A37" s="10">
        <v>31</v>
      </c>
      <c r="B37" s="18" t="s">
        <v>106</v>
      </c>
      <c r="C37" s="12" t="s">
        <v>107</v>
      </c>
      <c r="D37" s="15" t="s">
        <v>111</v>
      </c>
      <c r="E37" s="811">
        <v>64800</v>
      </c>
    </row>
    <row r="38" ht="26.25" customHeight="1" spans="1:5">
      <c r="A38" s="10"/>
      <c r="B38" s="20" t="s">
        <v>120</v>
      </c>
      <c r="C38" s="21">
        <v>31</v>
      </c>
      <c r="D38" s="15"/>
      <c r="E38" s="812">
        <f>SUM(E7:E37)</f>
        <v>3816000</v>
      </c>
    </row>
    <row r="39" ht="18.75" customHeight="1" spans="1:5">
      <c r="A39" s="10"/>
      <c r="B39" s="22"/>
      <c r="C39" s="4"/>
      <c r="D39" s="15"/>
      <c r="E39" s="812"/>
    </row>
    <row r="40" ht="18.75" customHeight="1" spans="1:5">
      <c r="A40" s="10"/>
      <c r="B40" s="20" t="s">
        <v>121</v>
      </c>
      <c r="C40" s="4"/>
      <c r="D40" s="15"/>
      <c r="E40" s="811"/>
    </row>
    <row r="41" ht="18.75" customHeight="1" spans="1:5">
      <c r="A41" s="10">
        <v>1</v>
      </c>
      <c r="B41" s="18" t="s">
        <v>122</v>
      </c>
      <c r="C41" s="4" t="s">
        <v>123</v>
      </c>
      <c r="D41" s="10" t="s">
        <v>124</v>
      </c>
      <c r="E41" s="811">
        <f>270000*1.2</f>
        <v>324000</v>
      </c>
    </row>
    <row r="42" ht="18.75" customHeight="1" spans="1:5">
      <c r="A42" s="10">
        <v>2</v>
      </c>
      <c r="B42" s="18" t="s">
        <v>127</v>
      </c>
      <c r="C42" s="4" t="s">
        <v>128</v>
      </c>
      <c r="D42" s="10" t="s">
        <v>74</v>
      </c>
      <c r="E42" s="811">
        <f>68000*1.2</f>
        <v>81600</v>
      </c>
    </row>
    <row r="43" ht="18.75" customHeight="1" spans="1:5">
      <c r="A43" s="10">
        <v>3</v>
      </c>
      <c r="B43" s="11" t="s">
        <v>129</v>
      </c>
      <c r="C43" s="4" t="s">
        <v>128</v>
      </c>
      <c r="D43" s="15" t="s">
        <v>77</v>
      </c>
      <c r="E43" s="811">
        <f>68000*1.2</f>
        <v>81600</v>
      </c>
    </row>
    <row r="44" ht="18.75" customHeight="1" spans="1:5">
      <c r="A44" s="10">
        <v>4</v>
      </c>
      <c r="B44" s="11" t="s">
        <v>133</v>
      </c>
      <c r="C44" s="4" t="s">
        <v>134</v>
      </c>
      <c r="D44" s="15" t="s">
        <v>99</v>
      </c>
      <c r="E44" s="813">
        <f>54000*1.2</f>
        <v>64800</v>
      </c>
    </row>
    <row r="45" ht="19.5" customHeight="1" spans="1:5">
      <c r="A45" s="10"/>
      <c r="B45" s="14"/>
      <c r="C45" s="21">
        <v>4</v>
      </c>
      <c r="D45" s="10"/>
      <c r="E45" s="812">
        <f>SUM(E41:E44)</f>
        <v>552000</v>
      </c>
    </row>
    <row r="46" customHeight="1" spans="1:5">
      <c r="A46" s="10"/>
      <c r="B46" s="14"/>
      <c r="C46" s="4"/>
      <c r="D46" s="10"/>
      <c r="E46" s="812"/>
    </row>
    <row r="47" customHeight="1" spans="1:5">
      <c r="A47" s="10"/>
      <c r="B47" s="23" t="s">
        <v>137</v>
      </c>
      <c r="C47" s="5"/>
      <c r="D47" s="24"/>
      <c r="E47" s="812"/>
    </row>
    <row r="48" customHeight="1" spans="1:5">
      <c r="A48" s="10">
        <v>1</v>
      </c>
      <c r="B48" s="11" t="s">
        <v>138</v>
      </c>
      <c r="C48" s="4" t="s">
        <v>552</v>
      </c>
      <c r="D48" s="10" t="s">
        <v>35</v>
      </c>
      <c r="E48" s="811">
        <v>216000</v>
      </c>
    </row>
    <row r="49" customHeight="1" spans="1:5">
      <c r="A49" s="10">
        <v>2</v>
      </c>
      <c r="B49" s="11" t="s">
        <v>141</v>
      </c>
      <c r="C49" s="4" t="s">
        <v>142</v>
      </c>
      <c r="D49" s="10" t="s">
        <v>38</v>
      </c>
      <c r="E49" s="811">
        <v>151200</v>
      </c>
    </row>
    <row r="50" customHeight="1" spans="1:5">
      <c r="A50" s="10">
        <v>3</v>
      </c>
      <c r="B50" s="11" t="s">
        <v>143</v>
      </c>
      <c r="C50" s="4" t="s">
        <v>142</v>
      </c>
      <c r="D50" s="10" t="s">
        <v>38</v>
      </c>
      <c r="E50" s="811">
        <v>151200</v>
      </c>
    </row>
    <row r="51" customHeight="1" spans="1:5">
      <c r="A51" s="10">
        <v>4</v>
      </c>
      <c r="B51" s="11" t="s">
        <v>144</v>
      </c>
      <c r="C51" s="4" t="s">
        <v>142</v>
      </c>
      <c r="D51" s="10" t="s">
        <v>49</v>
      </c>
      <c r="E51" s="811">
        <v>151200</v>
      </c>
    </row>
    <row r="52" customHeight="1" spans="1:5">
      <c r="A52" s="10">
        <v>5</v>
      </c>
      <c r="B52" s="14" t="s">
        <v>145</v>
      </c>
      <c r="C52" s="4" t="s">
        <v>142</v>
      </c>
      <c r="D52" s="10" t="s">
        <v>41</v>
      </c>
      <c r="E52" s="811">
        <v>151200</v>
      </c>
    </row>
    <row r="53" customHeight="1" spans="1:5">
      <c r="A53" s="10">
        <v>6</v>
      </c>
      <c r="B53" s="11" t="s">
        <v>149</v>
      </c>
      <c r="C53" s="4" t="s">
        <v>150</v>
      </c>
      <c r="D53" s="10" t="s">
        <v>77</v>
      </c>
      <c r="E53" s="811">
        <v>81600</v>
      </c>
    </row>
    <row r="54" customHeight="1" spans="1:5">
      <c r="A54" s="10">
        <v>7</v>
      </c>
      <c r="B54" s="11" t="s">
        <v>153</v>
      </c>
      <c r="C54" s="4" t="s">
        <v>150</v>
      </c>
      <c r="D54" s="10" t="s">
        <v>88</v>
      </c>
      <c r="E54" s="811">
        <v>64800</v>
      </c>
    </row>
    <row r="55" customHeight="1" spans="1:5">
      <c r="A55" s="10">
        <v>8</v>
      </c>
      <c r="B55" s="11" t="s">
        <v>154</v>
      </c>
      <c r="C55" s="4" t="s">
        <v>150</v>
      </c>
      <c r="D55" s="10" t="s">
        <v>88</v>
      </c>
      <c r="E55" s="811">
        <v>64800</v>
      </c>
    </row>
    <row r="56" ht="25.5" customHeight="1" spans="1:5">
      <c r="A56" s="10"/>
      <c r="B56" s="20" t="s">
        <v>120</v>
      </c>
      <c r="C56" s="21">
        <v>8</v>
      </c>
      <c r="D56" s="21"/>
      <c r="E56" s="814">
        <f>SUM(E48:E55)</f>
        <v>1032000</v>
      </c>
    </row>
    <row r="57" customHeight="1" spans="1:5">
      <c r="A57" s="10"/>
      <c r="B57" s="22"/>
      <c r="C57" s="21"/>
      <c r="D57" s="21"/>
      <c r="E57" s="815"/>
    </row>
    <row r="58" customHeight="1" spans="1:5">
      <c r="A58" s="10"/>
      <c r="B58" s="20" t="s">
        <v>156</v>
      </c>
      <c r="C58" s="21"/>
      <c r="D58" s="21"/>
      <c r="E58" s="815"/>
    </row>
    <row r="59" customHeight="1" spans="1:5">
      <c r="A59" s="10">
        <v>1</v>
      </c>
      <c r="B59" s="11" t="s">
        <v>157</v>
      </c>
      <c r="C59" s="12" t="s">
        <v>158</v>
      </c>
      <c r="D59" s="15" t="s">
        <v>124</v>
      </c>
      <c r="E59" s="811">
        <v>324000</v>
      </c>
    </row>
    <row r="60" customHeight="1" spans="1:5">
      <c r="A60" s="10">
        <v>2</v>
      </c>
      <c r="B60" s="11" t="s">
        <v>159</v>
      </c>
      <c r="C60" s="12" t="s">
        <v>160</v>
      </c>
      <c r="D60" s="15" t="s">
        <v>161</v>
      </c>
      <c r="E60" s="811">
        <v>151200</v>
      </c>
    </row>
    <row r="61" customHeight="1" spans="1:5">
      <c r="A61" s="10"/>
      <c r="B61" s="20" t="s">
        <v>120</v>
      </c>
      <c r="C61" s="21">
        <v>2</v>
      </c>
      <c r="D61" s="21"/>
      <c r="E61" s="814">
        <f>SUM(E59:E60)</f>
        <v>475200</v>
      </c>
    </row>
    <row r="62" customHeight="1" spans="1:5">
      <c r="A62" s="10"/>
      <c r="B62" s="20"/>
      <c r="C62" s="21"/>
      <c r="D62" s="21"/>
      <c r="E62" s="815"/>
    </row>
    <row r="63" customHeight="1" spans="1:5">
      <c r="A63" s="10"/>
      <c r="B63" s="20" t="s">
        <v>162</v>
      </c>
      <c r="C63" s="21"/>
      <c r="D63" s="21"/>
      <c r="E63" s="815"/>
    </row>
    <row r="64" customHeight="1" spans="1:5">
      <c r="A64" s="10">
        <v>1</v>
      </c>
      <c r="B64" s="14" t="s">
        <v>163</v>
      </c>
      <c r="C64" s="4" t="s">
        <v>164</v>
      </c>
      <c r="D64" s="10" t="s">
        <v>35</v>
      </c>
      <c r="E64" s="811">
        <v>216000</v>
      </c>
    </row>
    <row r="65" customHeight="1" spans="1:5">
      <c r="A65" s="10">
        <v>2</v>
      </c>
      <c r="B65" s="11" t="s">
        <v>165</v>
      </c>
      <c r="C65" s="4" t="s">
        <v>51</v>
      </c>
      <c r="D65" s="10" t="s">
        <v>212</v>
      </c>
      <c r="E65" s="811">
        <v>108000</v>
      </c>
    </row>
    <row r="66" customHeight="1" spans="1:5">
      <c r="A66" s="10">
        <v>3</v>
      </c>
      <c r="B66" s="11" t="s">
        <v>169</v>
      </c>
      <c r="C66" s="4" t="s">
        <v>150</v>
      </c>
      <c r="D66" s="10" t="s">
        <v>69</v>
      </c>
      <c r="E66" s="811">
        <v>81600</v>
      </c>
    </row>
    <row r="67" customHeight="1" spans="1:5">
      <c r="A67" s="10">
        <v>4</v>
      </c>
      <c r="B67" s="11" t="s">
        <v>171</v>
      </c>
      <c r="C67" s="17" t="s">
        <v>71</v>
      </c>
      <c r="D67" s="10" t="s">
        <v>69</v>
      </c>
      <c r="E67" s="811">
        <v>81600</v>
      </c>
    </row>
    <row r="68" customHeight="1" spans="1:5">
      <c r="A68" s="10">
        <v>5</v>
      </c>
      <c r="B68" s="11" t="s">
        <v>172</v>
      </c>
      <c r="C68" s="17" t="s">
        <v>71</v>
      </c>
      <c r="D68" s="10" t="s">
        <v>69</v>
      </c>
      <c r="E68" s="811">
        <v>81600</v>
      </c>
    </row>
    <row r="69" customHeight="1" spans="1:5">
      <c r="A69" s="10">
        <v>6</v>
      </c>
      <c r="B69" s="11" t="s">
        <v>173</v>
      </c>
      <c r="C69" s="4" t="s">
        <v>553</v>
      </c>
      <c r="D69" s="10" t="s">
        <v>170</v>
      </c>
      <c r="E69" s="811">
        <v>81600</v>
      </c>
    </row>
    <row r="70" ht="21.6" customHeight="1" spans="1:5">
      <c r="A70" s="10">
        <v>7</v>
      </c>
      <c r="B70" s="11" t="s">
        <v>177</v>
      </c>
      <c r="C70" s="4" t="s">
        <v>150</v>
      </c>
      <c r="D70" s="10" t="s">
        <v>77</v>
      </c>
      <c r="E70" s="811">
        <v>81600</v>
      </c>
    </row>
    <row r="71" ht="27" customHeight="1" spans="1:5">
      <c r="A71" s="10"/>
      <c r="B71" s="20" t="s">
        <v>120</v>
      </c>
      <c r="C71" s="21">
        <v>7</v>
      </c>
      <c r="D71" s="21"/>
      <c r="E71" s="814">
        <f>SUM(E64:E70)</f>
        <v>732000</v>
      </c>
    </row>
    <row r="72" customHeight="1" spans="1:5">
      <c r="A72" s="10"/>
      <c r="B72" s="22"/>
      <c r="C72" s="21"/>
      <c r="D72" s="21"/>
      <c r="E72" s="815"/>
    </row>
    <row r="73" customHeight="1" spans="1:5">
      <c r="A73" s="10"/>
      <c r="B73" s="20" t="s">
        <v>180</v>
      </c>
      <c r="C73" s="21"/>
      <c r="D73" s="21"/>
      <c r="E73" s="815"/>
    </row>
    <row r="74" customHeight="1" spans="1:5">
      <c r="A74" s="10">
        <v>1</v>
      </c>
      <c r="B74" s="11" t="s">
        <v>181</v>
      </c>
      <c r="C74" s="4" t="s">
        <v>182</v>
      </c>
      <c r="D74" s="10" t="s">
        <v>124</v>
      </c>
      <c r="E74" s="811">
        <v>324000</v>
      </c>
    </row>
    <row r="75" customHeight="1" spans="1:5">
      <c r="A75" s="10">
        <v>2</v>
      </c>
      <c r="B75" s="11" t="s">
        <v>185</v>
      </c>
      <c r="C75" s="4" t="s">
        <v>186</v>
      </c>
      <c r="D75" s="10" t="s">
        <v>41</v>
      </c>
      <c r="E75" s="811">
        <v>151200</v>
      </c>
    </row>
    <row r="76" customHeight="1" spans="1:5">
      <c r="A76" s="10">
        <v>3</v>
      </c>
      <c r="B76" s="11" t="s">
        <v>187</v>
      </c>
      <c r="C76" s="4" t="s">
        <v>188</v>
      </c>
      <c r="D76" s="15" t="s">
        <v>46</v>
      </c>
      <c r="E76" s="811">
        <v>108000</v>
      </c>
    </row>
    <row r="77" customHeight="1" spans="1:5">
      <c r="A77" s="10">
        <v>4</v>
      </c>
      <c r="B77" s="11" t="s">
        <v>194</v>
      </c>
      <c r="C77" s="4" t="s">
        <v>195</v>
      </c>
      <c r="D77" s="10" t="s">
        <v>131</v>
      </c>
      <c r="E77" s="811">
        <v>81600</v>
      </c>
    </row>
    <row r="78" customHeight="1" spans="1:5">
      <c r="A78" s="10">
        <v>5</v>
      </c>
      <c r="B78" s="11" t="s">
        <v>198</v>
      </c>
      <c r="C78" s="4" t="s">
        <v>179</v>
      </c>
      <c r="D78" s="10" t="s">
        <v>99</v>
      </c>
      <c r="E78" s="811">
        <v>64800</v>
      </c>
    </row>
    <row r="79" customHeight="1" spans="1:5">
      <c r="A79" s="10">
        <v>6</v>
      </c>
      <c r="B79" s="11" t="s">
        <v>200</v>
      </c>
      <c r="C79" s="4" t="s">
        <v>201</v>
      </c>
      <c r="D79" s="10" t="s">
        <v>108</v>
      </c>
      <c r="E79" s="811">
        <v>64800</v>
      </c>
    </row>
    <row r="80" customHeight="1" spans="1:5">
      <c r="A80" s="10"/>
      <c r="B80" s="20" t="s">
        <v>120</v>
      </c>
      <c r="C80" s="21">
        <v>6</v>
      </c>
      <c r="D80" s="21"/>
      <c r="E80" s="814">
        <f>SUM(E74:E79)</f>
        <v>794400</v>
      </c>
    </row>
    <row r="81" customHeight="1" spans="1:5">
      <c r="A81" s="10"/>
      <c r="B81" s="20"/>
      <c r="C81" s="21"/>
      <c r="D81" s="21"/>
      <c r="E81" s="815"/>
    </row>
    <row r="82" customHeight="1" spans="1:5">
      <c r="A82" s="10"/>
      <c r="B82" s="20" t="s">
        <v>202</v>
      </c>
      <c r="C82" s="25"/>
      <c r="D82" s="21"/>
      <c r="E82" s="815"/>
    </row>
    <row r="83" customHeight="1" spans="1:5">
      <c r="A83" s="10">
        <v>1</v>
      </c>
      <c r="B83" s="11" t="s">
        <v>203</v>
      </c>
      <c r="C83" s="4" t="s">
        <v>142</v>
      </c>
      <c r="D83" s="10" t="s">
        <v>505</v>
      </c>
      <c r="E83" s="811">
        <v>324000</v>
      </c>
    </row>
    <row r="84" customHeight="1" spans="1:5">
      <c r="A84" s="10">
        <v>2</v>
      </c>
      <c r="B84" s="11" t="s">
        <v>205</v>
      </c>
      <c r="C84" s="4" t="s">
        <v>206</v>
      </c>
      <c r="D84" s="10" t="s">
        <v>506</v>
      </c>
      <c r="E84" s="811">
        <v>216000</v>
      </c>
    </row>
    <row r="85" customHeight="1" spans="1:5">
      <c r="A85" s="10">
        <v>3</v>
      </c>
      <c r="B85" s="11" t="s">
        <v>208</v>
      </c>
      <c r="C85" s="4" t="s">
        <v>142</v>
      </c>
      <c r="D85" s="10" t="s">
        <v>49</v>
      </c>
      <c r="E85" s="811">
        <v>151200</v>
      </c>
    </row>
    <row r="86" ht="21.6" customHeight="1" spans="1:5">
      <c r="A86" s="10">
        <v>4</v>
      </c>
      <c r="B86" s="11" t="s">
        <v>209</v>
      </c>
      <c r="C86" s="4" t="s">
        <v>51</v>
      </c>
      <c r="D86" s="15" t="s">
        <v>212</v>
      </c>
      <c r="E86" s="811">
        <v>108000</v>
      </c>
    </row>
    <row r="87" ht="21.6" customHeight="1" spans="1:5">
      <c r="A87" s="10">
        <v>5</v>
      </c>
      <c r="B87" s="11" t="s">
        <v>210</v>
      </c>
      <c r="C87" s="4" t="s">
        <v>51</v>
      </c>
      <c r="D87" s="15" t="s">
        <v>212</v>
      </c>
      <c r="E87" s="811">
        <v>108000</v>
      </c>
    </row>
    <row r="88" ht="21.6" customHeight="1" spans="1:5">
      <c r="A88" s="10">
        <v>6</v>
      </c>
      <c r="B88" s="11" t="s">
        <v>211</v>
      </c>
      <c r="C88" s="12" t="s">
        <v>51</v>
      </c>
      <c r="D88" s="15" t="s">
        <v>52</v>
      </c>
      <c r="E88" s="811">
        <v>108000</v>
      </c>
    </row>
    <row r="89" ht="21.6" customHeight="1" spans="1:5">
      <c r="A89" s="10">
        <v>7</v>
      </c>
      <c r="B89" s="11" t="s">
        <v>213</v>
      </c>
      <c r="C89" s="17" t="s">
        <v>71</v>
      </c>
      <c r="D89" s="15" t="s">
        <v>69</v>
      </c>
      <c r="E89" s="811">
        <v>81600</v>
      </c>
    </row>
    <row r="90" ht="21.6" customHeight="1" spans="1:5">
      <c r="A90" s="10">
        <v>8</v>
      </c>
      <c r="B90" s="11" t="s">
        <v>214</v>
      </c>
      <c r="C90" s="17" t="s">
        <v>167</v>
      </c>
      <c r="D90" s="15" t="s">
        <v>63</v>
      </c>
      <c r="E90" s="811">
        <v>108000</v>
      </c>
    </row>
    <row r="91" ht="21.6" customHeight="1" spans="1:5">
      <c r="A91" s="10">
        <v>9</v>
      </c>
      <c r="B91" s="11" t="s">
        <v>217</v>
      </c>
      <c r="C91" s="4" t="s">
        <v>218</v>
      </c>
      <c r="D91" s="10" t="s">
        <v>77</v>
      </c>
      <c r="E91" s="816">
        <v>81600</v>
      </c>
    </row>
    <row r="92" ht="21.6" customHeight="1" spans="1:5">
      <c r="A92" s="10">
        <v>10</v>
      </c>
      <c r="B92" s="11" t="s">
        <v>221</v>
      </c>
      <c r="C92" s="17" t="s">
        <v>222</v>
      </c>
      <c r="D92" s="15" t="s">
        <v>105</v>
      </c>
      <c r="E92" s="816">
        <v>64800</v>
      </c>
    </row>
    <row r="93" customHeight="1" spans="1:5">
      <c r="A93" s="10"/>
      <c r="B93" s="20" t="s">
        <v>120</v>
      </c>
      <c r="C93" s="21">
        <v>10</v>
      </c>
      <c r="D93" s="21"/>
      <c r="E93" s="814">
        <f>SUM(E83:E92)</f>
        <v>1351200</v>
      </c>
    </row>
    <row r="94" customHeight="1" spans="1:5">
      <c r="A94" s="10"/>
      <c r="B94" s="22"/>
      <c r="C94" s="21"/>
      <c r="D94" s="21"/>
      <c r="E94" s="815"/>
    </row>
    <row r="95" customHeight="1" spans="1:5">
      <c r="A95" s="10"/>
      <c r="B95" s="20" t="s">
        <v>224</v>
      </c>
      <c r="C95" s="21"/>
      <c r="D95" s="21"/>
      <c r="E95" s="815"/>
    </row>
    <row r="96" customHeight="1" spans="1:5">
      <c r="A96" s="10">
        <v>1</v>
      </c>
      <c r="B96" s="14" t="s">
        <v>225</v>
      </c>
      <c r="C96" s="4" t="s">
        <v>554</v>
      </c>
      <c r="D96" s="16" t="s">
        <v>140</v>
      </c>
      <c r="E96" s="811">
        <v>324000</v>
      </c>
    </row>
    <row r="97" customHeight="1" spans="1:5">
      <c r="A97" s="10">
        <v>2</v>
      </c>
      <c r="B97" s="11" t="s">
        <v>227</v>
      </c>
      <c r="C97" s="4" t="s">
        <v>228</v>
      </c>
      <c r="D97" s="15" t="s">
        <v>46</v>
      </c>
      <c r="E97" s="811">
        <v>108000</v>
      </c>
    </row>
    <row r="98" customHeight="1" spans="1:5">
      <c r="A98" s="10">
        <v>3</v>
      </c>
      <c r="B98" s="11" t="s">
        <v>229</v>
      </c>
      <c r="C98" s="12" t="s">
        <v>230</v>
      </c>
      <c r="D98" s="15" t="s">
        <v>63</v>
      </c>
      <c r="E98" s="811">
        <v>108000</v>
      </c>
    </row>
    <row r="99" customHeight="1" spans="1:5">
      <c r="A99" s="10">
        <v>4</v>
      </c>
      <c r="B99" s="11" t="s">
        <v>233</v>
      </c>
      <c r="C99" s="4" t="s">
        <v>555</v>
      </c>
      <c r="D99" s="15" t="s">
        <v>170</v>
      </c>
      <c r="E99" s="811">
        <v>81600</v>
      </c>
    </row>
    <row r="100" customHeight="1" spans="1:5">
      <c r="A100" s="10">
        <v>5</v>
      </c>
      <c r="B100" s="11" t="s">
        <v>234</v>
      </c>
      <c r="C100" s="4" t="s">
        <v>197</v>
      </c>
      <c r="D100" s="15" t="s">
        <v>77</v>
      </c>
      <c r="E100" s="816">
        <v>81600</v>
      </c>
    </row>
    <row r="101" customHeight="1" spans="1:5">
      <c r="A101" s="4"/>
      <c r="B101" s="20" t="s">
        <v>120</v>
      </c>
      <c r="C101" s="21">
        <v>5</v>
      </c>
      <c r="D101" s="26"/>
      <c r="E101" s="814">
        <f>SUM(E96:E100)</f>
        <v>703200</v>
      </c>
    </row>
    <row r="102" customHeight="1" spans="1:5">
      <c r="A102" s="4"/>
      <c r="B102" s="22"/>
      <c r="C102" s="21"/>
      <c r="D102" s="26"/>
      <c r="E102" s="815"/>
    </row>
    <row r="103" customHeight="1" spans="1:5">
      <c r="A103" s="4"/>
      <c r="B103" s="20" t="s">
        <v>237</v>
      </c>
      <c r="C103" s="4"/>
      <c r="D103" s="4"/>
      <c r="E103" s="817"/>
    </row>
    <row r="104" customHeight="1" spans="1:5">
      <c r="A104" s="4">
        <v>1</v>
      </c>
      <c r="B104" s="11" t="s">
        <v>556</v>
      </c>
      <c r="C104" s="12" t="s">
        <v>239</v>
      </c>
      <c r="D104" s="15" t="s">
        <v>124</v>
      </c>
      <c r="E104" s="811">
        <v>324000</v>
      </c>
    </row>
    <row r="105" customHeight="1" spans="1:5">
      <c r="A105" s="4">
        <v>2</v>
      </c>
      <c r="B105" s="11" t="s">
        <v>240</v>
      </c>
      <c r="C105" s="4" t="s">
        <v>241</v>
      </c>
      <c r="D105" s="16" t="s">
        <v>35</v>
      </c>
      <c r="E105" s="811">
        <v>216000</v>
      </c>
    </row>
    <row r="106" customHeight="1" spans="1:5">
      <c r="A106" s="4">
        <v>3</v>
      </c>
      <c r="B106" s="11" t="s">
        <v>242</v>
      </c>
      <c r="C106" s="4" t="s">
        <v>557</v>
      </c>
      <c r="D106" s="10" t="s">
        <v>55</v>
      </c>
      <c r="E106" s="811">
        <v>108000</v>
      </c>
    </row>
    <row r="107" customHeight="1" spans="1:5">
      <c r="A107" s="4">
        <v>4</v>
      </c>
      <c r="B107" s="11" t="s">
        <v>244</v>
      </c>
      <c r="C107" s="4" t="s">
        <v>557</v>
      </c>
      <c r="D107" s="10" t="s">
        <v>55</v>
      </c>
      <c r="E107" s="811">
        <v>108000</v>
      </c>
    </row>
    <row r="108" customHeight="1" spans="1:5">
      <c r="A108" s="4">
        <v>5</v>
      </c>
      <c r="B108" s="11" t="s">
        <v>247</v>
      </c>
      <c r="C108" s="4" t="s">
        <v>248</v>
      </c>
      <c r="D108" s="15" t="s">
        <v>507</v>
      </c>
      <c r="E108" s="816">
        <v>64800</v>
      </c>
    </row>
    <row r="109" customHeight="1" spans="1:5">
      <c r="A109" s="4">
        <v>6</v>
      </c>
      <c r="B109" s="18" t="s">
        <v>250</v>
      </c>
      <c r="C109" s="4" t="s">
        <v>248</v>
      </c>
      <c r="D109" s="10" t="s">
        <v>344</v>
      </c>
      <c r="E109" s="816">
        <v>64800</v>
      </c>
    </row>
    <row r="110" customHeight="1" spans="1:5">
      <c r="A110" s="4">
        <v>7</v>
      </c>
      <c r="B110" s="18" t="s">
        <v>251</v>
      </c>
      <c r="C110" s="4" t="s">
        <v>248</v>
      </c>
      <c r="D110" s="15" t="s">
        <v>105</v>
      </c>
      <c r="E110" s="816">
        <v>64800</v>
      </c>
    </row>
    <row r="111" ht="25.5" customHeight="1" spans="1:5">
      <c r="A111" s="4"/>
      <c r="B111" s="20" t="s">
        <v>120</v>
      </c>
      <c r="C111" s="21">
        <v>7</v>
      </c>
      <c r="D111" s="4"/>
      <c r="E111" s="818">
        <f>SUM(E104:E110)</f>
        <v>950400</v>
      </c>
    </row>
    <row r="112" customHeight="1" spans="1:5">
      <c r="A112" s="4"/>
      <c r="B112" s="20"/>
      <c r="C112" s="21"/>
      <c r="D112" s="4"/>
      <c r="E112" s="818"/>
    </row>
    <row r="113" customHeight="1" spans="1:5">
      <c r="A113" s="10"/>
      <c r="B113" s="20" t="s">
        <v>255</v>
      </c>
      <c r="C113" s="21"/>
      <c r="D113" s="21"/>
      <c r="E113" s="815"/>
    </row>
    <row r="114" ht="18.75" customHeight="1" spans="1:5">
      <c r="A114" s="10">
        <v>1</v>
      </c>
      <c r="B114" s="11" t="s">
        <v>257</v>
      </c>
      <c r="C114" s="4" t="s">
        <v>258</v>
      </c>
      <c r="D114" s="15" t="s">
        <v>170</v>
      </c>
      <c r="E114" s="811">
        <v>81600</v>
      </c>
    </row>
    <row r="115" ht="18.75" customHeight="1" spans="1:5">
      <c r="A115" s="10">
        <v>2</v>
      </c>
      <c r="B115" s="11" t="s">
        <v>260</v>
      </c>
      <c r="C115" s="4" t="s">
        <v>71</v>
      </c>
      <c r="D115" s="15" t="s">
        <v>69</v>
      </c>
      <c r="E115" s="811">
        <v>81600</v>
      </c>
    </row>
    <row r="116" customHeight="1" spans="1:5">
      <c r="A116" s="10">
        <v>3</v>
      </c>
      <c r="B116" s="11" t="s">
        <v>190</v>
      </c>
      <c r="C116" s="12" t="s">
        <v>191</v>
      </c>
      <c r="D116" s="15" t="s">
        <v>66</v>
      </c>
      <c r="E116" s="811">
        <v>108000</v>
      </c>
    </row>
    <row r="117" ht="24.75" customHeight="1" spans="1:5">
      <c r="A117" s="4"/>
      <c r="B117" s="20" t="s">
        <v>120</v>
      </c>
      <c r="C117" s="21">
        <v>3</v>
      </c>
      <c r="D117" s="26"/>
      <c r="E117" s="814">
        <f>SUM(E114:E116)</f>
        <v>271200</v>
      </c>
    </row>
    <row r="118" ht="24.75" customHeight="1" spans="1:5">
      <c r="A118" s="4"/>
      <c r="B118" s="20"/>
      <c r="C118" s="21"/>
      <c r="D118" s="26"/>
      <c r="E118" s="814"/>
    </row>
    <row r="119" ht="24.75" customHeight="1" spans="1:5">
      <c r="A119" s="10"/>
      <c r="B119" s="20" t="s">
        <v>267</v>
      </c>
      <c r="C119" s="21"/>
      <c r="D119" s="21"/>
      <c r="E119" s="815"/>
    </row>
    <row r="120" ht="24.75" customHeight="1" spans="1:5">
      <c r="A120" s="10">
        <v>1</v>
      </c>
      <c r="B120" s="11" t="s">
        <v>272</v>
      </c>
      <c r="C120" s="4" t="s">
        <v>273</v>
      </c>
      <c r="D120" s="10" t="s">
        <v>276</v>
      </c>
      <c r="E120" s="811">
        <v>64800</v>
      </c>
    </row>
    <row r="121" ht="24.75" customHeight="1" spans="1:5">
      <c r="A121" s="10">
        <v>2</v>
      </c>
      <c r="B121" s="11" t="s">
        <v>277</v>
      </c>
      <c r="C121" s="4" t="s">
        <v>278</v>
      </c>
      <c r="D121" s="10" t="s">
        <v>276</v>
      </c>
      <c r="E121" s="811">
        <v>64800</v>
      </c>
    </row>
    <row r="122" customHeight="1" spans="1:5">
      <c r="A122" s="4"/>
      <c r="B122" s="20" t="s">
        <v>120</v>
      </c>
      <c r="C122" s="21">
        <v>2</v>
      </c>
      <c r="D122" s="26"/>
      <c r="E122" s="814">
        <f>SUM(E120:E121)</f>
        <v>129600</v>
      </c>
    </row>
    <row r="123" customHeight="1" spans="1:5">
      <c r="A123" s="4"/>
      <c r="B123" s="20"/>
      <c r="C123" s="21"/>
      <c r="D123" s="26"/>
      <c r="E123" s="814"/>
    </row>
    <row r="124" customHeight="1" spans="1:5">
      <c r="A124" s="4"/>
      <c r="B124" s="20" t="s">
        <v>279</v>
      </c>
      <c r="C124" s="21"/>
      <c r="D124" s="21"/>
      <c r="E124" s="815"/>
    </row>
    <row r="125" customHeight="1" spans="1:5">
      <c r="A125" s="4">
        <v>1</v>
      </c>
      <c r="B125" s="11" t="s">
        <v>280</v>
      </c>
      <c r="C125" s="12" t="s">
        <v>281</v>
      </c>
      <c r="D125" s="15" t="s">
        <v>124</v>
      </c>
      <c r="E125" s="811">
        <v>324000</v>
      </c>
    </row>
    <row r="126" customHeight="1" spans="1:5">
      <c r="A126" s="4">
        <v>2</v>
      </c>
      <c r="B126" s="11" t="s">
        <v>282</v>
      </c>
      <c r="C126" s="12" t="s">
        <v>558</v>
      </c>
      <c r="D126" s="15" t="s">
        <v>35</v>
      </c>
      <c r="E126" s="811">
        <v>216000</v>
      </c>
    </row>
    <row r="127" customHeight="1" spans="1:5">
      <c r="A127" s="4">
        <v>3</v>
      </c>
      <c r="B127" s="14" t="s">
        <v>284</v>
      </c>
      <c r="C127" s="12" t="s">
        <v>559</v>
      </c>
      <c r="D127" s="15" t="s">
        <v>506</v>
      </c>
      <c r="E127" s="811">
        <v>216000</v>
      </c>
    </row>
    <row r="128" customHeight="1" spans="1:5">
      <c r="A128" s="4">
        <v>4</v>
      </c>
      <c r="B128" s="11" t="s">
        <v>287</v>
      </c>
      <c r="C128" s="12" t="s">
        <v>289</v>
      </c>
      <c r="D128" s="15" t="s">
        <v>189</v>
      </c>
      <c r="E128" s="811">
        <v>108000</v>
      </c>
    </row>
    <row r="129" customHeight="1" spans="1:5">
      <c r="A129" s="4">
        <v>5</v>
      </c>
      <c r="B129" s="11" t="s">
        <v>288</v>
      </c>
      <c r="C129" s="12" t="s">
        <v>560</v>
      </c>
      <c r="D129" s="15" t="s">
        <v>212</v>
      </c>
      <c r="E129" s="811">
        <v>108000</v>
      </c>
    </row>
    <row r="130" customHeight="1" spans="1:5">
      <c r="A130" s="4">
        <v>6</v>
      </c>
      <c r="B130" s="11" t="s">
        <v>290</v>
      </c>
      <c r="C130" s="12" t="s">
        <v>289</v>
      </c>
      <c r="D130" s="15" t="s">
        <v>46</v>
      </c>
      <c r="E130" s="811">
        <v>108000</v>
      </c>
    </row>
    <row r="131" customHeight="1" spans="1:5">
      <c r="A131" s="4">
        <v>7</v>
      </c>
      <c r="B131" s="11" t="s">
        <v>293</v>
      </c>
      <c r="C131" s="12" t="s">
        <v>561</v>
      </c>
      <c r="D131" s="10" t="s">
        <v>85</v>
      </c>
      <c r="E131" s="811">
        <v>64800</v>
      </c>
    </row>
    <row r="132" customHeight="1" spans="1:5">
      <c r="A132" s="4">
        <v>8</v>
      </c>
      <c r="B132" s="18" t="s">
        <v>295</v>
      </c>
      <c r="C132" s="12" t="s">
        <v>296</v>
      </c>
      <c r="D132" s="15" t="s">
        <v>108</v>
      </c>
      <c r="E132" s="811">
        <v>64800</v>
      </c>
    </row>
    <row r="133" customHeight="1" spans="1:5">
      <c r="A133" s="4">
        <v>9</v>
      </c>
      <c r="B133" s="18" t="s">
        <v>297</v>
      </c>
      <c r="C133" s="12" t="s">
        <v>292</v>
      </c>
      <c r="D133" s="15" t="s">
        <v>108</v>
      </c>
      <c r="E133" s="811">
        <v>64800</v>
      </c>
    </row>
    <row r="134" customHeight="1" spans="1:5">
      <c r="A134" s="4">
        <v>10</v>
      </c>
      <c r="B134" s="18" t="s">
        <v>298</v>
      </c>
      <c r="C134" s="12" t="s">
        <v>296</v>
      </c>
      <c r="D134" s="15" t="s">
        <v>111</v>
      </c>
      <c r="E134" s="811">
        <v>64800</v>
      </c>
    </row>
    <row r="135" ht="28.5" customHeight="1" spans="1:5">
      <c r="A135" s="4"/>
      <c r="B135" s="20" t="s">
        <v>120</v>
      </c>
      <c r="C135" s="26" t="s">
        <v>562</v>
      </c>
      <c r="D135" s="15"/>
      <c r="E135" s="815">
        <f>SUM(E125:E134)</f>
        <v>1339200</v>
      </c>
    </row>
    <row r="136" customHeight="1" spans="1:5">
      <c r="A136" s="4"/>
      <c r="B136" s="22"/>
      <c r="C136" s="26"/>
      <c r="D136" s="15"/>
      <c r="E136" s="815"/>
    </row>
    <row r="137" customHeight="1" spans="1:5">
      <c r="A137" s="4"/>
      <c r="B137" s="20" t="s">
        <v>300</v>
      </c>
      <c r="C137" s="12"/>
      <c r="D137" s="15"/>
      <c r="E137" s="811"/>
    </row>
    <row r="138" customHeight="1" spans="1:5">
      <c r="A138" s="27">
        <v>1</v>
      </c>
      <c r="B138" s="14" t="s">
        <v>301</v>
      </c>
      <c r="C138" s="4" t="s">
        <v>302</v>
      </c>
      <c r="D138" s="10" t="s">
        <v>508</v>
      </c>
      <c r="E138" s="811">
        <v>324000</v>
      </c>
    </row>
    <row r="139" customHeight="1" spans="1:5">
      <c r="A139" s="27">
        <v>2</v>
      </c>
      <c r="B139" s="14" t="s">
        <v>304</v>
      </c>
      <c r="C139" s="4" t="s">
        <v>305</v>
      </c>
      <c r="D139" s="16" t="s">
        <v>35</v>
      </c>
      <c r="E139" s="811">
        <v>216000</v>
      </c>
    </row>
    <row r="140" customHeight="1" spans="1:5">
      <c r="A140" s="27">
        <v>3</v>
      </c>
      <c r="B140" s="11" t="s">
        <v>306</v>
      </c>
      <c r="C140" s="12" t="s">
        <v>307</v>
      </c>
      <c r="D140" s="15" t="s">
        <v>41</v>
      </c>
      <c r="E140" s="811">
        <v>151200</v>
      </c>
    </row>
    <row r="141" customHeight="1" spans="1:5">
      <c r="A141" s="27">
        <v>4</v>
      </c>
      <c r="B141" s="11" t="s">
        <v>308</v>
      </c>
      <c r="C141" s="4" t="s">
        <v>309</v>
      </c>
      <c r="D141" s="15" t="s">
        <v>41</v>
      </c>
      <c r="E141" s="811">
        <v>151200</v>
      </c>
    </row>
    <row r="142" customHeight="1" spans="1:5">
      <c r="A142" s="27">
        <v>5</v>
      </c>
      <c r="B142" s="11" t="s">
        <v>310</v>
      </c>
      <c r="C142" s="4" t="s">
        <v>309</v>
      </c>
      <c r="D142" s="15" t="s">
        <v>41</v>
      </c>
      <c r="E142" s="811">
        <v>151200</v>
      </c>
    </row>
    <row r="143" customHeight="1" spans="1:5">
      <c r="A143" s="27">
        <v>6</v>
      </c>
      <c r="B143" s="11" t="s">
        <v>313</v>
      </c>
      <c r="C143" s="12" t="s">
        <v>230</v>
      </c>
      <c r="D143" s="15" t="s">
        <v>66</v>
      </c>
      <c r="E143" s="811">
        <v>108000</v>
      </c>
    </row>
    <row r="144" customHeight="1" spans="1:5">
      <c r="A144" s="27">
        <v>7</v>
      </c>
      <c r="B144" s="11" t="s">
        <v>314</v>
      </c>
      <c r="C144" s="4" t="s">
        <v>563</v>
      </c>
      <c r="D144" s="15" t="s">
        <v>66</v>
      </c>
      <c r="E144" s="811">
        <v>108000</v>
      </c>
    </row>
    <row r="145" customHeight="1" spans="1:5">
      <c r="A145" s="27">
        <v>8</v>
      </c>
      <c r="B145" s="11" t="s">
        <v>316</v>
      </c>
      <c r="C145" s="12" t="s">
        <v>564</v>
      </c>
      <c r="D145" s="15" t="s">
        <v>170</v>
      </c>
      <c r="E145" s="811">
        <v>81600</v>
      </c>
    </row>
    <row r="146" customHeight="1" spans="1:5">
      <c r="A146" s="27">
        <v>9</v>
      </c>
      <c r="B146" s="11" t="s">
        <v>318</v>
      </c>
      <c r="C146" s="12" t="s">
        <v>319</v>
      </c>
      <c r="D146" s="15" t="s">
        <v>69</v>
      </c>
      <c r="E146" s="811">
        <v>81600</v>
      </c>
    </row>
    <row r="147" customHeight="1" spans="1:5">
      <c r="A147" s="27">
        <v>10</v>
      </c>
      <c r="B147" s="18" t="s">
        <v>320</v>
      </c>
      <c r="C147" s="4" t="s">
        <v>321</v>
      </c>
      <c r="D147" s="15" t="s">
        <v>131</v>
      </c>
      <c r="E147" s="811">
        <v>81600</v>
      </c>
    </row>
    <row r="148" customHeight="1" spans="1:5">
      <c r="A148" s="27">
        <v>11</v>
      </c>
      <c r="B148" s="11" t="s">
        <v>322</v>
      </c>
      <c r="C148" s="4" t="s">
        <v>321</v>
      </c>
      <c r="D148" s="15" t="s">
        <v>504</v>
      </c>
      <c r="E148" s="811">
        <v>81600</v>
      </c>
    </row>
    <row r="149" customHeight="1" spans="1:5">
      <c r="A149" s="27">
        <v>12</v>
      </c>
      <c r="B149" s="11" t="s">
        <v>323</v>
      </c>
      <c r="C149" s="4" t="s">
        <v>321</v>
      </c>
      <c r="D149" s="15" t="s">
        <v>504</v>
      </c>
      <c r="E149" s="811">
        <v>81600</v>
      </c>
    </row>
    <row r="150" customHeight="1" spans="1:5">
      <c r="A150" s="27">
        <v>13</v>
      </c>
      <c r="B150" s="11" t="s">
        <v>325</v>
      </c>
      <c r="C150" s="4" t="s">
        <v>321</v>
      </c>
      <c r="D150" s="15" t="s">
        <v>131</v>
      </c>
      <c r="E150" s="811">
        <v>81600</v>
      </c>
    </row>
    <row r="151" customHeight="1" spans="1:5">
      <c r="A151" s="27">
        <v>14</v>
      </c>
      <c r="B151" s="11" t="s">
        <v>326</v>
      </c>
      <c r="C151" s="12" t="s">
        <v>327</v>
      </c>
      <c r="D151" s="15" t="s">
        <v>77</v>
      </c>
      <c r="E151" s="811">
        <v>81600</v>
      </c>
    </row>
    <row r="152" customHeight="1" spans="1:5">
      <c r="A152" s="27">
        <v>15</v>
      </c>
      <c r="B152" s="11" t="s">
        <v>328</v>
      </c>
      <c r="C152" s="12" t="s">
        <v>329</v>
      </c>
      <c r="D152" s="10" t="s">
        <v>88</v>
      </c>
      <c r="E152" s="811">
        <v>64800</v>
      </c>
    </row>
    <row r="153" customHeight="1" spans="1:5">
      <c r="A153" s="27">
        <v>16</v>
      </c>
      <c r="B153" s="11" t="s">
        <v>330</v>
      </c>
      <c r="C153" s="12" t="s">
        <v>565</v>
      </c>
      <c r="D153" s="15" t="s">
        <v>151</v>
      </c>
      <c r="E153" s="816">
        <v>81600</v>
      </c>
    </row>
    <row r="154" customHeight="1" spans="1:5">
      <c r="A154" s="27">
        <v>17</v>
      </c>
      <c r="B154" s="11" t="s">
        <v>332</v>
      </c>
      <c r="C154" s="12" t="s">
        <v>566</v>
      </c>
      <c r="D154" s="15" t="s">
        <v>85</v>
      </c>
      <c r="E154" s="816">
        <v>64800</v>
      </c>
    </row>
    <row r="155" customHeight="1" spans="1:5">
      <c r="A155" s="27">
        <v>18</v>
      </c>
      <c r="B155" s="11" t="s">
        <v>334</v>
      </c>
      <c r="C155" s="12" t="s">
        <v>567</v>
      </c>
      <c r="D155" s="15" t="s">
        <v>151</v>
      </c>
      <c r="E155" s="816">
        <v>81600</v>
      </c>
    </row>
    <row r="156" customHeight="1" spans="1:5">
      <c r="A156" s="27">
        <v>19</v>
      </c>
      <c r="B156" s="11" t="s">
        <v>335</v>
      </c>
      <c r="C156" s="12" t="s">
        <v>568</v>
      </c>
      <c r="D156" s="15" t="s">
        <v>85</v>
      </c>
      <c r="E156" s="816">
        <v>64800</v>
      </c>
    </row>
    <row r="157" customHeight="1" spans="1:5">
      <c r="A157" s="27">
        <v>20</v>
      </c>
      <c r="B157" s="18" t="s">
        <v>337</v>
      </c>
      <c r="C157" s="12" t="s">
        <v>338</v>
      </c>
      <c r="D157" s="15" t="s">
        <v>99</v>
      </c>
      <c r="E157" s="816">
        <v>64800</v>
      </c>
    </row>
    <row r="158" customHeight="1" spans="1:5">
      <c r="A158" s="27">
        <v>21</v>
      </c>
      <c r="B158" s="18" t="s">
        <v>339</v>
      </c>
      <c r="C158" s="12" t="s">
        <v>338</v>
      </c>
      <c r="D158" s="15" t="s">
        <v>99</v>
      </c>
      <c r="E158" s="816">
        <v>64800</v>
      </c>
    </row>
    <row r="159" customHeight="1" spans="1:5">
      <c r="A159" s="27">
        <v>22</v>
      </c>
      <c r="B159" s="18" t="s">
        <v>345</v>
      </c>
      <c r="C159" s="12" t="s">
        <v>346</v>
      </c>
      <c r="D159" s="15" t="s">
        <v>108</v>
      </c>
      <c r="E159" s="811">
        <v>64800</v>
      </c>
    </row>
    <row r="160" customHeight="1" spans="1:5">
      <c r="A160" s="27">
        <v>23</v>
      </c>
      <c r="B160" s="18" t="s">
        <v>347</v>
      </c>
      <c r="C160" s="12" t="s">
        <v>348</v>
      </c>
      <c r="D160" s="15" t="s">
        <v>108</v>
      </c>
      <c r="E160" s="811">
        <v>64800</v>
      </c>
    </row>
    <row r="161" customHeight="1" spans="1:5">
      <c r="A161" s="27">
        <v>24</v>
      </c>
      <c r="B161" s="18" t="s">
        <v>349</v>
      </c>
      <c r="C161" s="12" t="s">
        <v>350</v>
      </c>
      <c r="D161" s="15" t="s">
        <v>108</v>
      </c>
      <c r="E161" s="811">
        <v>64800</v>
      </c>
    </row>
    <row r="162" customHeight="1" spans="1:5">
      <c r="A162" s="27">
        <v>25</v>
      </c>
      <c r="B162" s="18" t="s">
        <v>351</v>
      </c>
      <c r="C162" s="12" t="s">
        <v>569</v>
      </c>
      <c r="D162" s="15" t="s">
        <v>105</v>
      </c>
      <c r="E162" s="811">
        <v>64800</v>
      </c>
    </row>
    <row r="163" customHeight="1" spans="1:5">
      <c r="A163" s="27">
        <v>26</v>
      </c>
      <c r="B163" s="18" t="s">
        <v>352</v>
      </c>
      <c r="C163" s="12" t="s">
        <v>348</v>
      </c>
      <c r="D163" s="15" t="s">
        <v>108</v>
      </c>
      <c r="E163" s="811">
        <v>64800</v>
      </c>
    </row>
    <row r="164" customHeight="1" spans="1:5">
      <c r="A164" s="27">
        <v>27</v>
      </c>
      <c r="B164" s="18" t="s">
        <v>353</v>
      </c>
      <c r="C164" s="12" t="s">
        <v>354</v>
      </c>
      <c r="D164" s="15" t="s">
        <v>111</v>
      </c>
      <c r="E164" s="813">
        <v>64800</v>
      </c>
    </row>
    <row r="165" customHeight="1" spans="1:5">
      <c r="A165" s="27">
        <v>28</v>
      </c>
      <c r="B165" s="18" t="s">
        <v>355</v>
      </c>
      <c r="C165" s="12" t="s">
        <v>354</v>
      </c>
      <c r="D165" s="15" t="s">
        <v>111</v>
      </c>
      <c r="E165" s="813">
        <v>64800</v>
      </c>
    </row>
    <row r="166" customHeight="1" spans="1:5">
      <c r="A166" s="27">
        <v>29</v>
      </c>
      <c r="B166" s="11" t="s">
        <v>361</v>
      </c>
      <c r="C166" s="12" t="s">
        <v>362</v>
      </c>
      <c r="D166" s="15" t="s">
        <v>375</v>
      </c>
      <c r="E166" s="813">
        <v>54000</v>
      </c>
    </row>
    <row r="167" customHeight="1" spans="1:5">
      <c r="A167" s="27">
        <v>30</v>
      </c>
      <c r="B167" s="11" t="s">
        <v>364</v>
      </c>
      <c r="C167" s="12" t="s">
        <v>362</v>
      </c>
      <c r="D167" s="15" t="s">
        <v>375</v>
      </c>
      <c r="E167" s="813">
        <v>54000</v>
      </c>
    </row>
    <row r="168" customHeight="1" spans="1:5">
      <c r="A168" s="27">
        <v>31</v>
      </c>
      <c r="B168" s="11" t="s">
        <v>570</v>
      </c>
      <c r="C168" s="12" t="s">
        <v>362</v>
      </c>
      <c r="D168" s="15" t="s">
        <v>375</v>
      </c>
      <c r="E168" s="813">
        <v>54000</v>
      </c>
    </row>
    <row r="169" customHeight="1" spans="1:5">
      <c r="A169" s="27">
        <v>32</v>
      </c>
      <c r="B169" s="11" t="s">
        <v>365</v>
      </c>
      <c r="C169" s="12" t="s">
        <v>362</v>
      </c>
      <c r="D169" s="15" t="s">
        <v>375</v>
      </c>
      <c r="E169" s="813">
        <v>54000</v>
      </c>
    </row>
    <row r="170" customHeight="1" spans="1:5">
      <c r="A170" s="27">
        <v>33</v>
      </c>
      <c r="B170" s="11" t="s">
        <v>366</v>
      </c>
      <c r="C170" s="12" t="s">
        <v>362</v>
      </c>
      <c r="D170" s="15" t="s">
        <v>375</v>
      </c>
      <c r="E170" s="813">
        <v>54000</v>
      </c>
    </row>
    <row r="171" customHeight="1" spans="1:5">
      <c r="A171" s="27">
        <v>34</v>
      </c>
      <c r="B171" s="11" t="s">
        <v>367</v>
      </c>
      <c r="C171" s="12" t="s">
        <v>362</v>
      </c>
      <c r="D171" s="15" t="s">
        <v>388</v>
      </c>
      <c r="E171" s="813">
        <v>54000</v>
      </c>
    </row>
    <row r="172" customHeight="1" spans="1:5">
      <c r="A172" s="27">
        <v>35</v>
      </c>
      <c r="B172" s="11" t="s">
        <v>369</v>
      </c>
      <c r="C172" s="12" t="s">
        <v>362</v>
      </c>
      <c r="D172" s="15" t="s">
        <v>388</v>
      </c>
      <c r="E172" s="813">
        <v>54000</v>
      </c>
    </row>
    <row r="173" customHeight="1" spans="1:5">
      <c r="A173" s="27">
        <v>36</v>
      </c>
      <c r="B173" s="14" t="s">
        <v>370</v>
      </c>
      <c r="C173" s="12" t="s">
        <v>362</v>
      </c>
      <c r="D173" s="15" t="s">
        <v>388</v>
      </c>
      <c r="E173" s="813">
        <v>54000</v>
      </c>
    </row>
    <row r="174" customHeight="1" spans="1:5">
      <c r="A174" s="27">
        <v>37</v>
      </c>
      <c r="B174" s="11" t="s">
        <v>371</v>
      </c>
      <c r="C174" s="12" t="s">
        <v>362</v>
      </c>
      <c r="D174" s="15" t="s">
        <v>388</v>
      </c>
      <c r="E174" s="813">
        <v>54000</v>
      </c>
    </row>
    <row r="175" customHeight="1" spans="1:5">
      <c r="A175" s="27">
        <v>38</v>
      </c>
      <c r="B175" s="18" t="s">
        <v>372</v>
      </c>
      <c r="C175" s="12" t="s">
        <v>362</v>
      </c>
      <c r="D175" s="15" t="s">
        <v>388</v>
      </c>
      <c r="E175" s="813">
        <v>54000</v>
      </c>
    </row>
    <row r="176" customHeight="1" spans="1:5">
      <c r="A176" s="27">
        <v>39</v>
      </c>
      <c r="B176" s="18" t="s">
        <v>359</v>
      </c>
      <c r="C176" s="12" t="s">
        <v>362</v>
      </c>
      <c r="D176" s="15" t="s">
        <v>388</v>
      </c>
      <c r="E176" s="813">
        <v>54000</v>
      </c>
    </row>
    <row r="177" customHeight="1" spans="1:5">
      <c r="A177" s="27">
        <v>40</v>
      </c>
      <c r="B177" s="11" t="s">
        <v>373</v>
      </c>
      <c r="C177" s="12" t="s">
        <v>374</v>
      </c>
      <c r="D177" s="15" t="s">
        <v>510</v>
      </c>
      <c r="E177" s="813">
        <v>54000</v>
      </c>
    </row>
    <row r="178" customHeight="1" spans="1:5">
      <c r="A178" s="27">
        <v>41</v>
      </c>
      <c r="B178" s="11" t="s">
        <v>376</v>
      </c>
      <c r="C178" s="12" t="s">
        <v>374</v>
      </c>
      <c r="D178" s="15" t="s">
        <v>510</v>
      </c>
      <c r="E178" s="813">
        <v>54000</v>
      </c>
    </row>
    <row r="179" customHeight="1" spans="1:5">
      <c r="A179" s="27">
        <v>42</v>
      </c>
      <c r="B179" s="18" t="s">
        <v>377</v>
      </c>
      <c r="C179" s="12" t="s">
        <v>374</v>
      </c>
      <c r="D179" s="15" t="s">
        <v>381</v>
      </c>
      <c r="E179" s="813">
        <v>54000</v>
      </c>
    </row>
    <row r="180" customHeight="1" spans="1:5">
      <c r="A180" s="27">
        <v>43</v>
      </c>
      <c r="B180" s="11" t="s">
        <v>379</v>
      </c>
      <c r="C180" s="12" t="s">
        <v>393</v>
      </c>
      <c r="D180" s="15" t="s">
        <v>511</v>
      </c>
      <c r="E180" s="813">
        <v>54000</v>
      </c>
    </row>
    <row r="181" customHeight="1" spans="1:6">
      <c r="A181" s="27">
        <v>44</v>
      </c>
      <c r="B181" s="11" t="s">
        <v>382</v>
      </c>
      <c r="C181" s="12" t="s">
        <v>390</v>
      </c>
      <c r="D181" s="15" t="s">
        <v>571</v>
      </c>
      <c r="E181" s="811">
        <v>43200</v>
      </c>
      <c r="F181" s="13"/>
    </row>
    <row r="182" customHeight="1" spans="1:5">
      <c r="A182" s="27">
        <v>45</v>
      </c>
      <c r="B182" s="11" t="s">
        <v>383</v>
      </c>
      <c r="C182" s="12" t="s">
        <v>390</v>
      </c>
      <c r="D182" s="15" t="s">
        <v>571</v>
      </c>
      <c r="E182" s="811">
        <v>43200</v>
      </c>
    </row>
    <row r="183" customHeight="1" spans="1:5">
      <c r="A183" s="27">
        <v>46</v>
      </c>
      <c r="B183" s="11" t="s">
        <v>384</v>
      </c>
      <c r="C183" s="12" t="s">
        <v>390</v>
      </c>
      <c r="D183" s="15" t="s">
        <v>571</v>
      </c>
      <c r="E183" s="811">
        <v>43200</v>
      </c>
    </row>
    <row r="184" customHeight="1" spans="1:5">
      <c r="A184" s="27">
        <v>47</v>
      </c>
      <c r="B184" s="11" t="s">
        <v>385</v>
      </c>
      <c r="C184" s="12" t="s">
        <v>390</v>
      </c>
      <c r="D184" s="15" t="s">
        <v>571</v>
      </c>
      <c r="E184" s="811">
        <v>43200</v>
      </c>
    </row>
    <row r="185" customHeight="1" spans="1:5">
      <c r="A185" s="27">
        <v>48</v>
      </c>
      <c r="B185" s="11" t="s">
        <v>386</v>
      </c>
      <c r="C185" s="12" t="s">
        <v>390</v>
      </c>
      <c r="D185" s="15" t="s">
        <v>571</v>
      </c>
      <c r="E185" s="811">
        <v>43200</v>
      </c>
    </row>
    <row r="186" customHeight="1" spans="1:5">
      <c r="A186" s="27">
        <v>49</v>
      </c>
      <c r="B186" s="18" t="s">
        <v>387</v>
      </c>
      <c r="C186" s="12" t="s">
        <v>390</v>
      </c>
      <c r="D186" s="15" t="s">
        <v>571</v>
      </c>
      <c r="E186" s="811">
        <v>43200</v>
      </c>
    </row>
    <row r="187" customHeight="1" spans="1:5">
      <c r="A187" s="27">
        <v>50</v>
      </c>
      <c r="B187" s="18" t="s">
        <v>389</v>
      </c>
      <c r="C187" s="12" t="s">
        <v>390</v>
      </c>
      <c r="D187" s="15" t="s">
        <v>571</v>
      </c>
      <c r="E187" s="811">
        <v>43200</v>
      </c>
    </row>
    <row r="188" customHeight="1" spans="1:5">
      <c r="A188" s="27">
        <v>51</v>
      </c>
      <c r="B188" s="11" t="s">
        <v>572</v>
      </c>
      <c r="C188" s="12" t="s">
        <v>393</v>
      </c>
      <c r="D188" s="15" t="s">
        <v>571</v>
      </c>
      <c r="E188" s="811">
        <v>43200</v>
      </c>
    </row>
    <row r="189" customHeight="1" spans="1:5">
      <c r="A189" s="27">
        <v>52</v>
      </c>
      <c r="B189" s="11" t="s">
        <v>392</v>
      </c>
      <c r="C189" s="12" t="s">
        <v>393</v>
      </c>
      <c r="D189" s="15" t="s">
        <v>571</v>
      </c>
      <c r="E189" s="811">
        <v>43200</v>
      </c>
    </row>
    <row r="190" customHeight="1" spans="1:5">
      <c r="A190" s="27">
        <v>53</v>
      </c>
      <c r="B190" s="18" t="s">
        <v>360</v>
      </c>
      <c r="C190" s="12" t="s">
        <v>395</v>
      </c>
      <c r="D190" s="15" t="s">
        <v>573</v>
      </c>
      <c r="E190" s="811">
        <v>43200</v>
      </c>
    </row>
    <row r="191" customHeight="1" spans="1:5">
      <c r="A191" s="27">
        <v>54</v>
      </c>
      <c r="B191" s="18" t="s">
        <v>394</v>
      </c>
      <c r="C191" s="12" t="s">
        <v>395</v>
      </c>
      <c r="D191" s="15" t="s">
        <v>398</v>
      </c>
      <c r="E191" s="811">
        <v>43200</v>
      </c>
    </row>
    <row r="192" customHeight="1" spans="1:5">
      <c r="A192" s="27">
        <v>55</v>
      </c>
      <c r="B192" s="18" t="s">
        <v>397</v>
      </c>
      <c r="C192" s="12" t="s">
        <v>374</v>
      </c>
      <c r="D192" s="15" t="s">
        <v>511</v>
      </c>
      <c r="E192" s="811">
        <v>43200</v>
      </c>
    </row>
    <row r="193" customHeight="1" spans="1:5">
      <c r="A193" s="27">
        <v>56</v>
      </c>
      <c r="B193" s="18" t="s">
        <v>401</v>
      </c>
      <c r="C193" s="12" t="s">
        <v>402</v>
      </c>
      <c r="D193" s="15" t="s">
        <v>513</v>
      </c>
      <c r="E193" s="811">
        <v>43200</v>
      </c>
    </row>
    <row r="194" customHeight="1" spans="1:5">
      <c r="A194" s="27">
        <v>57</v>
      </c>
      <c r="B194" s="18" t="s">
        <v>404</v>
      </c>
      <c r="C194" s="12" t="s">
        <v>402</v>
      </c>
      <c r="D194" s="15" t="s">
        <v>513</v>
      </c>
      <c r="E194" s="811">
        <v>43200</v>
      </c>
    </row>
    <row r="195" customHeight="1" spans="1:5">
      <c r="A195" s="27">
        <v>58</v>
      </c>
      <c r="B195" s="18" t="s">
        <v>405</v>
      </c>
      <c r="C195" s="12" t="s">
        <v>402</v>
      </c>
      <c r="D195" s="15" t="s">
        <v>513</v>
      </c>
      <c r="E195" s="811">
        <v>43200</v>
      </c>
    </row>
    <row r="196" customHeight="1" spans="1:5">
      <c r="A196" s="27">
        <v>59</v>
      </c>
      <c r="B196" s="18" t="s">
        <v>406</v>
      </c>
      <c r="C196" s="12" t="s">
        <v>407</v>
      </c>
      <c r="D196" s="15" t="s">
        <v>396</v>
      </c>
      <c r="E196" s="811">
        <v>43200</v>
      </c>
    </row>
    <row r="197" customHeight="1" spans="1:5">
      <c r="A197" s="27">
        <v>60</v>
      </c>
      <c r="B197" s="18" t="s">
        <v>409</v>
      </c>
      <c r="C197" s="12" t="s">
        <v>407</v>
      </c>
      <c r="D197" s="15" t="s">
        <v>396</v>
      </c>
      <c r="E197" s="811">
        <v>43200</v>
      </c>
    </row>
    <row r="198" ht="30.75" customHeight="1" spans="1:5">
      <c r="A198" s="27"/>
      <c r="B198" s="8" t="s">
        <v>120</v>
      </c>
      <c r="C198" s="28" t="s">
        <v>574</v>
      </c>
      <c r="D198" s="29"/>
      <c r="E198" s="814">
        <f>SUM(E138:E197)</f>
        <v>4266000</v>
      </c>
    </row>
    <row r="199" ht="30" customHeight="1" spans="1:5">
      <c r="A199" s="4"/>
      <c r="B199" s="30" t="s">
        <v>411</v>
      </c>
      <c r="C199" s="31">
        <f>C38+C45+C56+C61+C71+C80+C93+C101+C111+C122+C135+C198</f>
        <v>152</v>
      </c>
      <c r="D199" s="32"/>
      <c r="E199" s="819">
        <f>E198+E135+E122+E117+E111+E101+E93+E80+E71+E61+E56+E45+E38</f>
        <v>16412400</v>
      </c>
    </row>
    <row r="200" ht="38.25" customHeight="1" spans="2:5">
      <c r="B200" s="33"/>
      <c r="D200" s="34"/>
      <c r="E200" s="34"/>
    </row>
    <row r="201" ht="36.75" customHeight="1" spans="2:5">
      <c r="B201" s="33"/>
      <c r="C201" s="34"/>
      <c r="D201" s="34"/>
      <c r="E201" s="34"/>
    </row>
  </sheetData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9" sqref="D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6363636363636"/>
  </cols>
  <sheetData>
    <row r="1" ht="20.1" customHeight="1" spans="1:3">
      <c r="A1" s="721" t="s">
        <v>934</v>
      </c>
      <c r="B1" s="721"/>
      <c r="C1" s="721"/>
    </row>
    <row r="2" ht="23.1" customHeight="1" spans="1:3">
      <c r="A2" s="722">
        <v>1</v>
      </c>
      <c r="B2" s="722" t="s">
        <v>599</v>
      </c>
      <c r="C2" s="610">
        <f>'Welfare June 25'!E199</f>
        <v>16412400</v>
      </c>
    </row>
    <row r="3" ht="23.1" customHeight="1" spans="1:3">
      <c r="A3" s="722">
        <v>2</v>
      </c>
      <c r="B3" s="722" t="s">
        <v>935</v>
      </c>
      <c r="C3" s="610">
        <f>'[17]Sallah 2025'!$E$58</f>
        <v>1790400</v>
      </c>
    </row>
    <row r="4" ht="23.1" customHeight="1" spans="1:3">
      <c r="A4" s="722">
        <v>3</v>
      </c>
      <c r="B4" s="722" t="s">
        <v>600</v>
      </c>
      <c r="C4" s="610">
        <f>'[15]Contract Welfare'!$E$21</f>
        <v>2030400</v>
      </c>
    </row>
    <row r="5" ht="23.1" customHeight="1" spans="1:3">
      <c r="A5" s="722">
        <v>4</v>
      </c>
      <c r="B5" s="722" t="s">
        <v>936</v>
      </c>
      <c r="C5" s="610">
        <f>'[15]New Contr Welfare'!$E$42</f>
        <v>2947200</v>
      </c>
    </row>
    <row r="6" ht="23.1" customHeight="1" spans="1:3">
      <c r="A6" s="722">
        <v>5</v>
      </c>
      <c r="B6" s="722" t="s">
        <v>601</v>
      </c>
      <c r="C6" s="610">
        <f>'[15]CASUAL, SABB &amp; NYSC Welfare'!$D$82</f>
        <v>3412803</v>
      </c>
    </row>
    <row r="7" ht="23.1" customHeight="1" spans="1:3">
      <c r="A7" s="722">
        <v>6</v>
      </c>
      <c r="B7" s="722" t="s">
        <v>602</v>
      </c>
      <c r="C7" s="610">
        <f>'[15]CONSULTANTS Welfare'!$D$23</f>
        <v>1533600</v>
      </c>
    </row>
    <row r="8" ht="23.1" customHeight="1" spans="1:3">
      <c r="A8" s="722">
        <v>7</v>
      </c>
      <c r="B8" s="722" t="s">
        <v>603</v>
      </c>
      <c r="C8" s="610">
        <f>'[16]Revised Version'!$E$167</f>
        <v>2844000</v>
      </c>
    </row>
    <row r="9" ht="23.1" customHeight="1" spans="1:3">
      <c r="A9" s="722"/>
      <c r="B9" s="265" t="s">
        <v>604</v>
      </c>
      <c r="C9" s="72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2" sqref="G22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7"/>
  <sheetViews>
    <sheetView topLeftCell="A4" workbookViewId="0">
      <selection activeCell="G11" sqref="G11:G19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63" t="s">
        <v>616</v>
      </c>
      <c r="AA4" s="477"/>
      <c r="AB4" s="477" t="s">
        <v>808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/>
      <c r="D6" s="466"/>
      <c r="E6" s="467"/>
      <c r="F6" s="467"/>
      <c r="G6" s="467"/>
      <c r="H6" s="467"/>
      <c r="I6" s="467"/>
      <c r="J6" s="467"/>
      <c r="K6" s="467"/>
      <c r="L6" s="467"/>
      <c r="M6" s="467"/>
      <c r="N6" s="467"/>
      <c r="O6" s="467"/>
      <c r="P6" s="467"/>
      <c r="Q6" s="467"/>
      <c r="R6" s="467"/>
      <c r="S6" s="467"/>
      <c r="T6" s="467"/>
      <c r="U6" s="467"/>
      <c r="V6" s="467"/>
      <c r="W6" s="474"/>
      <c r="X6" s="467"/>
      <c r="Y6" s="467"/>
      <c r="Z6" s="467"/>
      <c r="AA6" s="479"/>
      <c r="AB6" s="479"/>
      <c r="AC6" s="479"/>
      <c r="AD6" s="479"/>
      <c r="AE6" s="479"/>
    </row>
    <row r="7" ht="18" spans="1:31">
      <c r="A7" s="464">
        <v>4</v>
      </c>
      <c r="B7" s="11" t="s">
        <v>26</v>
      </c>
      <c r="C7" s="465"/>
      <c r="D7" s="466"/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467"/>
      <c r="P7" s="467"/>
      <c r="Q7" s="467"/>
      <c r="R7" s="467"/>
      <c r="S7" s="467"/>
      <c r="T7" s="467"/>
      <c r="U7" s="467"/>
      <c r="V7" s="467"/>
      <c r="W7" s="474"/>
      <c r="X7" s="467"/>
      <c r="Y7" s="467"/>
      <c r="Z7" s="467"/>
      <c r="AA7" s="479"/>
      <c r="AB7" s="479"/>
      <c r="AC7" s="479"/>
      <c r="AD7" s="479"/>
      <c r="AE7" s="479"/>
    </row>
    <row r="8" ht="18" spans="1:31">
      <c r="A8" s="464">
        <v>5</v>
      </c>
      <c r="B8" s="14" t="s">
        <v>29</v>
      </c>
      <c r="C8" s="465"/>
      <c r="D8" s="466"/>
      <c r="E8" s="467"/>
      <c r="F8" s="467"/>
      <c r="G8" s="467"/>
      <c r="H8" s="467"/>
      <c r="I8" s="467"/>
      <c r="J8" s="467"/>
      <c r="K8" s="467"/>
      <c r="L8" s="467"/>
      <c r="M8" s="467"/>
      <c r="N8" s="467"/>
      <c r="O8" s="467"/>
      <c r="P8" s="467"/>
      <c r="Q8" s="467"/>
      <c r="R8" s="467"/>
      <c r="S8" s="467"/>
      <c r="T8" s="467"/>
      <c r="U8" s="467"/>
      <c r="V8" s="467"/>
      <c r="W8" s="474"/>
      <c r="X8" s="467"/>
      <c r="Y8" s="467"/>
      <c r="Z8" s="467"/>
      <c r="AA8" s="479"/>
      <c r="AB8" s="479"/>
      <c r="AC8" s="479"/>
      <c r="AD8" s="479"/>
      <c r="AE8" s="479"/>
    </row>
    <row r="9" ht="18" spans="1:31">
      <c r="A9" s="464">
        <v>6</v>
      </c>
      <c r="B9" s="11" t="s">
        <v>31</v>
      </c>
      <c r="C9" s="465"/>
      <c r="D9" s="466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7"/>
      <c r="R9" s="467"/>
      <c r="S9" s="467"/>
      <c r="T9" s="467"/>
      <c r="U9" s="467"/>
      <c r="V9" s="467"/>
      <c r="W9" s="474"/>
      <c r="X9" s="467"/>
      <c r="Y9" s="467"/>
      <c r="Z9" s="467"/>
      <c r="AA9" s="479"/>
      <c r="AB9" s="479"/>
      <c r="AC9" s="479"/>
      <c r="AD9" s="479"/>
      <c r="AE9" s="479"/>
    </row>
    <row r="10" ht="18" spans="1:31">
      <c r="A10" s="464">
        <v>7</v>
      </c>
      <c r="B10" s="11" t="s">
        <v>33</v>
      </c>
      <c r="C10" s="465"/>
      <c r="D10" s="466"/>
      <c r="E10" s="467"/>
      <c r="F10" s="467"/>
      <c r="G10" s="467"/>
      <c r="H10" s="467"/>
      <c r="I10" s="467"/>
      <c r="J10" s="467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74"/>
      <c r="X10" s="467"/>
      <c r="Y10" s="467"/>
      <c r="Z10" s="467"/>
      <c r="AA10" s="479"/>
      <c r="AB10" s="479"/>
      <c r="AC10" s="479"/>
      <c r="AD10" s="479"/>
      <c r="AE10" s="479"/>
    </row>
    <row r="11" ht="18" spans="1:31">
      <c r="A11" s="464">
        <v>8</v>
      </c>
      <c r="B11" s="11" t="s">
        <v>36</v>
      </c>
      <c r="C11" s="465">
        <v>77115</v>
      </c>
      <c r="D11" s="466">
        <v>12</v>
      </c>
      <c r="E11" s="467">
        <f t="shared" ref="E6:E36" si="0">C11*D11</f>
        <v>925380</v>
      </c>
      <c r="F11" s="467"/>
      <c r="G11" s="467"/>
      <c r="H11" s="467"/>
      <c r="I11" s="467">
        <f t="shared" ref="I6:I36" si="1">E11-F11-G11-H11</f>
        <v>925380</v>
      </c>
      <c r="J11" s="467">
        <v>200000</v>
      </c>
      <c r="K11" s="467">
        <v>0.2</v>
      </c>
      <c r="L11" s="467">
        <f t="shared" ref="L6:L36" si="2">I11*K11</f>
        <v>185076</v>
      </c>
      <c r="M11" s="467">
        <f t="shared" ref="M6:M36" si="3">J11+L11</f>
        <v>385076</v>
      </c>
      <c r="N11" s="467">
        <f t="shared" ref="N6:N36" si="4">F11+G11+H11+M11</f>
        <v>385076</v>
      </c>
      <c r="O11" s="467"/>
      <c r="P11" s="467">
        <f>IF(O11&lt;300000,0.07*O11,21000)</f>
        <v>0</v>
      </c>
      <c r="Q11" s="467">
        <f t="shared" ref="Q6:Q36" si="5">IF((O11-300000)&lt;0,0,IF((O11-300000)&lt;300000,0.11*(O11-300000),33000))</f>
        <v>0</v>
      </c>
      <c r="R11" s="467">
        <f t="shared" ref="R6:R36" si="6">IF((O11-600000)&lt;0,0,IF((O11-600000)&lt;500000,0.15*(O11-600000),75000))</f>
        <v>0</v>
      </c>
      <c r="S11" s="467">
        <f t="shared" ref="S6:S36" si="7">IF((O11-1100000)&lt;0,0,IF((O11-1100000)&lt;500000,0.19*(O11-1100000),95000))</f>
        <v>0</v>
      </c>
      <c r="T11" s="467">
        <f t="shared" ref="T6:T36" si="8">IF((O11-1600000)&lt;0,0,IF((O11-1600000)&lt;1600000,0.21*(O11-1600000),336000))</f>
        <v>0</v>
      </c>
      <c r="U11" s="467"/>
      <c r="V11" s="467">
        <f t="shared" ref="V6:V36" si="9">P11+Q11+R11+S11+T11+U11</f>
        <v>0</v>
      </c>
      <c r="W11" s="474">
        <v>12</v>
      </c>
      <c r="X11" s="467">
        <f t="shared" ref="X6:X36" si="10">V11/W11</f>
        <v>0</v>
      </c>
      <c r="Y11" s="467"/>
      <c r="Z11" s="467">
        <f t="shared" ref="Z6:Z36" si="11">X11</f>
        <v>0</v>
      </c>
      <c r="AA11" s="479">
        <v>101827.951418667</v>
      </c>
      <c r="AB11" s="479">
        <f t="shared" ref="AB6:AB32" si="12">Z11-AA11</f>
        <v>-101827.951418667</v>
      </c>
      <c r="AC11" s="479"/>
      <c r="AD11" s="479"/>
      <c r="AE11" s="479"/>
    </row>
    <row r="12" ht="18" spans="1:31">
      <c r="A12" s="464">
        <v>9</v>
      </c>
      <c r="B12" s="11" t="s">
        <v>39</v>
      </c>
      <c r="C12" s="465"/>
      <c r="D12" s="466"/>
      <c r="E12" s="467"/>
      <c r="F12" s="467"/>
      <c r="G12" s="467"/>
      <c r="H12" s="467"/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74"/>
      <c r="X12" s="467"/>
      <c r="Y12" s="467"/>
      <c r="Z12" s="467"/>
      <c r="AA12" s="479"/>
      <c r="AB12" s="479"/>
      <c r="AC12" s="479"/>
      <c r="AD12" s="479"/>
      <c r="AE12" s="479"/>
    </row>
    <row r="13" ht="18" spans="1:31">
      <c r="A13" s="464">
        <v>10</v>
      </c>
      <c r="B13" s="14" t="s">
        <v>42</v>
      </c>
      <c r="C13" s="465">
        <v>77115</v>
      </c>
      <c r="D13" s="466">
        <v>12</v>
      </c>
      <c r="E13" s="467">
        <f t="shared" si="0"/>
        <v>925380</v>
      </c>
      <c r="F13" s="467"/>
      <c r="G13" s="467"/>
      <c r="H13" s="467"/>
      <c r="I13" s="467">
        <f t="shared" si="1"/>
        <v>925380</v>
      </c>
      <c r="J13" s="467">
        <v>200000</v>
      </c>
      <c r="K13" s="467">
        <v>0.2</v>
      </c>
      <c r="L13" s="467">
        <f t="shared" si="2"/>
        <v>185076</v>
      </c>
      <c r="M13" s="467">
        <f t="shared" si="3"/>
        <v>385076</v>
      </c>
      <c r="N13" s="467">
        <f t="shared" si="4"/>
        <v>385076</v>
      </c>
      <c r="O13" s="467"/>
      <c r="P13" s="467">
        <f>IF(O13&lt;300000,0.07*O13,21000)</f>
        <v>0</v>
      </c>
      <c r="Q13" s="467">
        <f t="shared" si="5"/>
        <v>0</v>
      </c>
      <c r="R13" s="467">
        <f t="shared" si="6"/>
        <v>0</v>
      </c>
      <c r="S13" s="467">
        <f t="shared" si="7"/>
        <v>0</v>
      </c>
      <c r="T13" s="467">
        <f t="shared" si="8"/>
        <v>0</v>
      </c>
      <c r="U13" s="467"/>
      <c r="V13" s="467">
        <f t="shared" si="9"/>
        <v>0</v>
      </c>
      <c r="W13" s="474">
        <v>12</v>
      </c>
      <c r="X13" s="467">
        <f t="shared" si="10"/>
        <v>0</v>
      </c>
      <c r="Y13" s="467"/>
      <c r="Z13" s="467">
        <f t="shared" si="11"/>
        <v>0</v>
      </c>
      <c r="AA13" s="479">
        <v>94625.7820586667</v>
      </c>
      <c r="AB13" s="479">
        <f t="shared" si="12"/>
        <v>-94625.7820586667</v>
      </c>
      <c r="AC13" s="479"/>
      <c r="AD13" s="479"/>
      <c r="AE13" s="479"/>
    </row>
    <row r="14" ht="18" spans="1:31">
      <c r="A14" s="464">
        <v>11</v>
      </c>
      <c r="B14" s="11" t="s">
        <v>44</v>
      </c>
      <c r="C14" s="465">
        <v>55503</v>
      </c>
      <c r="D14" s="466">
        <v>12</v>
      </c>
      <c r="E14" s="467">
        <f t="shared" si="0"/>
        <v>666036</v>
      </c>
      <c r="F14" s="467"/>
      <c r="G14" s="467"/>
      <c r="H14" s="467"/>
      <c r="I14" s="467">
        <f t="shared" si="1"/>
        <v>666036</v>
      </c>
      <c r="J14" s="467">
        <v>200000</v>
      </c>
      <c r="K14" s="467">
        <v>0.2</v>
      </c>
      <c r="L14" s="467">
        <f t="shared" si="2"/>
        <v>133207.2</v>
      </c>
      <c r="M14" s="467">
        <f t="shared" si="3"/>
        <v>333207.2</v>
      </c>
      <c r="N14" s="467">
        <f t="shared" si="4"/>
        <v>333207.2</v>
      </c>
      <c r="O14" s="467"/>
      <c r="P14" s="467"/>
      <c r="Q14" s="467">
        <f t="shared" si="5"/>
        <v>0</v>
      </c>
      <c r="R14" s="467">
        <f t="shared" si="6"/>
        <v>0</v>
      </c>
      <c r="S14" s="467">
        <f t="shared" si="7"/>
        <v>0</v>
      </c>
      <c r="T14" s="467">
        <f t="shared" si="8"/>
        <v>0</v>
      </c>
      <c r="U14" s="467"/>
      <c r="V14" s="467">
        <f t="shared" si="9"/>
        <v>0</v>
      </c>
      <c r="W14" s="474">
        <v>12</v>
      </c>
      <c r="X14" s="467">
        <f t="shared" si="10"/>
        <v>0</v>
      </c>
      <c r="Y14" s="467"/>
      <c r="Z14" s="467">
        <f t="shared" si="11"/>
        <v>0</v>
      </c>
      <c r="AA14" s="479">
        <v>44846.6165886667</v>
      </c>
      <c r="AB14" s="479">
        <f t="shared" si="12"/>
        <v>-44846.6165886667</v>
      </c>
      <c r="AC14" s="479"/>
      <c r="AD14" s="479"/>
      <c r="AE14" s="479"/>
    </row>
    <row r="15" ht="18" spans="1:31">
      <c r="A15" s="464">
        <v>12</v>
      </c>
      <c r="B15" s="11" t="s">
        <v>47</v>
      </c>
      <c r="C15" s="465"/>
      <c r="D15" s="466"/>
      <c r="E15" s="467"/>
      <c r="F15" s="467"/>
      <c r="G15" s="467"/>
      <c r="H15" s="467"/>
      <c r="I15" s="467"/>
      <c r="J15" s="467"/>
      <c r="K15" s="467"/>
      <c r="L15" s="467"/>
      <c r="M15" s="467"/>
      <c r="N15" s="467"/>
      <c r="O15" s="467"/>
      <c r="P15" s="467"/>
      <c r="Q15" s="467"/>
      <c r="R15" s="467"/>
      <c r="S15" s="467"/>
      <c r="T15" s="467"/>
      <c r="U15" s="467"/>
      <c r="V15" s="467"/>
      <c r="W15" s="474"/>
      <c r="X15" s="467"/>
      <c r="Y15" s="467"/>
      <c r="Z15" s="467"/>
      <c r="AA15" s="479"/>
      <c r="AB15" s="479"/>
      <c r="AC15" s="479"/>
      <c r="AD15" s="479"/>
      <c r="AE15" s="479"/>
    </row>
    <row r="16" ht="18" spans="1:31">
      <c r="A16" s="464">
        <v>13</v>
      </c>
      <c r="B16" s="11" t="s">
        <v>50</v>
      </c>
      <c r="C16" s="465">
        <v>51556</v>
      </c>
      <c r="D16" s="466">
        <v>12</v>
      </c>
      <c r="E16" s="467">
        <f t="shared" si="0"/>
        <v>618672</v>
      </c>
      <c r="F16" s="467"/>
      <c r="G16" s="467"/>
      <c r="H16" s="467"/>
      <c r="I16" s="467">
        <f t="shared" si="1"/>
        <v>618672</v>
      </c>
      <c r="J16" s="467">
        <v>200000</v>
      </c>
      <c r="K16" s="467">
        <v>0.2</v>
      </c>
      <c r="L16" s="467">
        <f t="shared" si="2"/>
        <v>123734.4</v>
      </c>
      <c r="M16" s="467">
        <f t="shared" si="3"/>
        <v>323734.4</v>
      </c>
      <c r="N16" s="467">
        <f t="shared" si="4"/>
        <v>323734.4</v>
      </c>
      <c r="O16" s="467"/>
      <c r="P16" s="467"/>
      <c r="Q16" s="467">
        <f t="shared" si="5"/>
        <v>0</v>
      </c>
      <c r="R16" s="467">
        <f t="shared" si="6"/>
        <v>0</v>
      </c>
      <c r="S16" s="467">
        <f t="shared" si="7"/>
        <v>0</v>
      </c>
      <c r="T16" s="467">
        <f t="shared" si="8"/>
        <v>0</v>
      </c>
      <c r="U16" s="467"/>
      <c r="V16" s="467">
        <f t="shared" si="9"/>
        <v>0</v>
      </c>
      <c r="W16" s="474">
        <v>12</v>
      </c>
      <c r="X16" s="467">
        <f t="shared" si="10"/>
        <v>0</v>
      </c>
      <c r="Y16" s="467"/>
      <c r="Z16" s="467">
        <f t="shared" si="11"/>
        <v>0</v>
      </c>
      <c r="AA16" s="479">
        <v>46666.6666666667</v>
      </c>
      <c r="AB16" s="479">
        <f t="shared" si="12"/>
        <v>-46666.6666666667</v>
      </c>
      <c r="AC16" s="479"/>
      <c r="AD16" s="479"/>
      <c r="AE16" s="479"/>
    </row>
    <row r="17" ht="18" spans="1:31">
      <c r="A17" s="464">
        <v>14</v>
      </c>
      <c r="B17" s="18" t="s">
        <v>53</v>
      </c>
      <c r="C17" s="465">
        <v>51556</v>
      </c>
      <c r="D17" s="466">
        <v>12</v>
      </c>
      <c r="E17" s="467">
        <f t="shared" si="0"/>
        <v>618672</v>
      </c>
      <c r="F17" s="467"/>
      <c r="G17" s="467"/>
      <c r="H17" s="467"/>
      <c r="I17" s="467">
        <f t="shared" si="1"/>
        <v>618672</v>
      </c>
      <c r="J17" s="467">
        <v>200000</v>
      </c>
      <c r="K17" s="467">
        <v>0.2</v>
      </c>
      <c r="L17" s="467">
        <f t="shared" si="2"/>
        <v>123734.4</v>
      </c>
      <c r="M17" s="467">
        <f t="shared" si="3"/>
        <v>323734.4</v>
      </c>
      <c r="N17" s="467">
        <f t="shared" si="4"/>
        <v>323734.4</v>
      </c>
      <c r="O17" s="467"/>
      <c r="P17" s="467"/>
      <c r="Q17" s="467">
        <f t="shared" si="5"/>
        <v>0</v>
      </c>
      <c r="R17" s="467">
        <f t="shared" si="6"/>
        <v>0</v>
      </c>
      <c r="S17" s="467">
        <f t="shared" si="7"/>
        <v>0</v>
      </c>
      <c r="T17" s="467">
        <f t="shared" si="8"/>
        <v>0</v>
      </c>
      <c r="U17" s="467"/>
      <c r="V17" s="467">
        <f t="shared" si="9"/>
        <v>0</v>
      </c>
      <c r="W17" s="474">
        <v>12</v>
      </c>
      <c r="X17" s="467">
        <f t="shared" si="10"/>
        <v>0</v>
      </c>
      <c r="Y17" s="467"/>
      <c r="Z17" s="467">
        <f t="shared" si="11"/>
        <v>0</v>
      </c>
      <c r="AA17" s="479">
        <v>42046.0636866667</v>
      </c>
      <c r="AB17" s="479">
        <f t="shared" si="12"/>
        <v>-42046.0636866667</v>
      </c>
      <c r="AC17" s="479"/>
      <c r="AD17" s="479"/>
      <c r="AE17" s="479"/>
    </row>
    <row r="18" ht="18" spans="1:31">
      <c r="A18" s="464">
        <v>15</v>
      </c>
      <c r="B18" s="18" t="s">
        <v>56</v>
      </c>
      <c r="C18" s="465">
        <v>51556.3333333321</v>
      </c>
      <c r="D18" s="466">
        <v>12</v>
      </c>
      <c r="E18" s="467">
        <f t="shared" si="0"/>
        <v>618675.999999985</v>
      </c>
      <c r="F18" s="467"/>
      <c r="G18" s="467"/>
      <c r="H18" s="467"/>
      <c r="I18" s="467">
        <f t="shared" si="1"/>
        <v>618675.999999985</v>
      </c>
      <c r="J18" s="467">
        <v>200000</v>
      </c>
      <c r="K18" s="467">
        <v>0.2</v>
      </c>
      <c r="L18" s="467">
        <f t="shared" si="2"/>
        <v>123735.199999997</v>
      </c>
      <c r="M18" s="467">
        <f t="shared" si="3"/>
        <v>323735.199999997</v>
      </c>
      <c r="N18" s="467">
        <f t="shared" si="4"/>
        <v>323735.199999997</v>
      </c>
      <c r="O18" s="467"/>
      <c r="P18" s="467"/>
      <c r="Q18" s="467">
        <f t="shared" si="5"/>
        <v>0</v>
      </c>
      <c r="R18" s="467">
        <f t="shared" si="6"/>
        <v>0</v>
      </c>
      <c r="S18" s="467">
        <f t="shared" si="7"/>
        <v>0</v>
      </c>
      <c r="T18" s="467">
        <f t="shared" si="8"/>
        <v>0</v>
      </c>
      <c r="U18" s="467"/>
      <c r="V18" s="467">
        <f t="shared" si="9"/>
        <v>0</v>
      </c>
      <c r="W18" s="474">
        <v>12</v>
      </c>
      <c r="X18" s="467">
        <f t="shared" si="10"/>
        <v>0</v>
      </c>
      <c r="Y18" s="467"/>
      <c r="Z18" s="467">
        <f t="shared" si="11"/>
        <v>0</v>
      </c>
      <c r="AA18" s="479">
        <v>46666.6666666667</v>
      </c>
      <c r="AB18" s="479">
        <f t="shared" si="12"/>
        <v>-46666.6666666667</v>
      </c>
      <c r="AC18" s="479"/>
      <c r="AD18" s="479"/>
      <c r="AE18" s="479"/>
    </row>
    <row r="19" ht="18" spans="1:31">
      <c r="A19" s="464">
        <v>16</v>
      </c>
      <c r="B19" s="18" t="s">
        <v>59</v>
      </c>
      <c r="C19" s="465">
        <v>51556.3333333321</v>
      </c>
      <c r="D19" s="466">
        <v>12</v>
      </c>
      <c r="E19" s="467">
        <f t="shared" si="0"/>
        <v>618675.999999985</v>
      </c>
      <c r="F19" s="467"/>
      <c r="G19" s="467"/>
      <c r="H19" s="467"/>
      <c r="I19" s="467">
        <f t="shared" si="1"/>
        <v>618675.999999985</v>
      </c>
      <c r="J19" s="467">
        <v>200000</v>
      </c>
      <c r="K19" s="467">
        <v>0.2</v>
      </c>
      <c r="L19" s="467">
        <f t="shared" si="2"/>
        <v>123735.199999997</v>
      </c>
      <c r="M19" s="467">
        <f t="shared" si="3"/>
        <v>323735.199999997</v>
      </c>
      <c r="N19" s="467">
        <f t="shared" si="4"/>
        <v>323735.199999997</v>
      </c>
      <c r="O19" s="467"/>
      <c r="P19" s="467"/>
      <c r="Q19" s="467">
        <f t="shared" si="5"/>
        <v>0</v>
      </c>
      <c r="R19" s="467">
        <f t="shared" si="6"/>
        <v>0</v>
      </c>
      <c r="S19" s="467">
        <f t="shared" si="7"/>
        <v>0</v>
      </c>
      <c r="T19" s="467">
        <f t="shared" si="8"/>
        <v>0</v>
      </c>
      <c r="U19" s="467"/>
      <c r="V19" s="467">
        <f t="shared" si="9"/>
        <v>0</v>
      </c>
      <c r="W19" s="474">
        <v>12</v>
      </c>
      <c r="X19" s="467">
        <f t="shared" si="10"/>
        <v>0</v>
      </c>
      <c r="Y19" s="467"/>
      <c r="Z19" s="467">
        <f t="shared" si="11"/>
        <v>0</v>
      </c>
      <c r="AA19" s="479">
        <v>46666.6666666667</v>
      </c>
      <c r="AB19" s="479">
        <f t="shared" si="12"/>
        <v>-46666.6666666667</v>
      </c>
      <c r="AC19" s="479"/>
      <c r="AD19" s="479"/>
      <c r="AE19" s="479"/>
    </row>
    <row r="20" ht="18" spans="1:31">
      <c r="A20" s="464">
        <v>17</v>
      </c>
      <c r="B20" s="11" t="s">
        <v>61</v>
      </c>
      <c r="C20" s="465">
        <v>48766</v>
      </c>
      <c r="D20" s="466">
        <v>12</v>
      </c>
      <c r="E20" s="467">
        <f t="shared" si="0"/>
        <v>585192</v>
      </c>
      <c r="F20" s="467"/>
      <c r="G20" s="467"/>
      <c r="H20" s="467"/>
      <c r="I20" s="467">
        <f t="shared" si="1"/>
        <v>585192</v>
      </c>
      <c r="J20" s="467">
        <v>200000</v>
      </c>
      <c r="K20" s="467">
        <v>0.2</v>
      </c>
      <c r="L20" s="467">
        <f t="shared" si="2"/>
        <v>117038.4</v>
      </c>
      <c r="M20" s="467">
        <f t="shared" si="3"/>
        <v>317038.4</v>
      </c>
      <c r="N20" s="467">
        <f t="shared" si="4"/>
        <v>317038.4</v>
      </c>
      <c r="O20" s="467"/>
      <c r="P20" s="467"/>
      <c r="Q20" s="467">
        <f t="shared" si="5"/>
        <v>0</v>
      </c>
      <c r="R20" s="467">
        <f t="shared" si="6"/>
        <v>0</v>
      </c>
      <c r="S20" s="467">
        <f t="shared" si="7"/>
        <v>0</v>
      </c>
      <c r="T20" s="467">
        <f t="shared" si="8"/>
        <v>0</v>
      </c>
      <c r="U20" s="467"/>
      <c r="V20" s="467">
        <f t="shared" si="9"/>
        <v>0</v>
      </c>
      <c r="W20" s="474">
        <v>12</v>
      </c>
      <c r="X20" s="467">
        <f t="shared" si="10"/>
        <v>0</v>
      </c>
      <c r="Y20" s="467"/>
      <c r="Z20" s="467">
        <f t="shared" si="11"/>
        <v>0</v>
      </c>
      <c r="AA20" s="479">
        <v>52497.7703786666</v>
      </c>
      <c r="AB20" s="479">
        <f t="shared" si="12"/>
        <v>-52497.7703786666</v>
      </c>
      <c r="AC20" s="479"/>
      <c r="AD20" s="479"/>
      <c r="AE20" s="479"/>
    </row>
    <row r="21" ht="18" spans="1:31">
      <c r="A21" s="464">
        <v>18</v>
      </c>
      <c r="B21" s="11" t="s">
        <v>64</v>
      </c>
      <c r="C21" s="465">
        <v>48765.3333333321</v>
      </c>
      <c r="D21" s="466">
        <v>12</v>
      </c>
      <c r="E21" s="467">
        <f t="shared" si="0"/>
        <v>585183.999999985</v>
      </c>
      <c r="F21" s="467"/>
      <c r="G21" s="467"/>
      <c r="H21" s="467"/>
      <c r="I21" s="467">
        <f t="shared" si="1"/>
        <v>585183.999999985</v>
      </c>
      <c r="J21" s="467">
        <v>200000</v>
      </c>
      <c r="K21" s="467">
        <v>0.2</v>
      </c>
      <c r="L21" s="467">
        <f t="shared" si="2"/>
        <v>117036.799999997</v>
      </c>
      <c r="M21" s="467">
        <f t="shared" si="3"/>
        <v>317036.799999997</v>
      </c>
      <c r="N21" s="467">
        <f t="shared" si="4"/>
        <v>317036.799999997</v>
      </c>
      <c r="O21" s="467"/>
      <c r="P21" s="467"/>
      <c r="Q21" s="467">
        <f t="shared" si="5"/>
        <v>0</v>
      </c>
      <c r="R21" s="467">
        <f t="shared" si="6"/>
        <v>0</v>
      </c>
      <c r="S21" s="467">
        <f t="shared" si="7"/>
        <v>0</v>
      </c>
      <c r="T21" s="467">
        <f t="shared" si="8"/>
        <v>0</v>
      </c>
      <c r="U21" s="467"/>
      <c r="V21" s="467">
        <f t="shared" si="9"/>
        <v>0</v>
      </c>
      <c r="W21" s="474">
        <v>12</v>
      </c>
      <c r="X21" s="467">
        <f t="shared" si="10"/>
        <v>0</v>
      </c>
      <c r="Y21" s="467"/>
      <c r="Z21" s="467">
        <f t="shared" si="11"/>
        <v>0</v>
      </c>
      <c r="AA21" s="479">
        <v>46666.6666666667</v>
      </c>
      <c r="AB21" s="479">
        <f t="shared" si="12"/>
        <v>-46666.6666666667</v>
      </c>
      <c r="AC21" s="479"/>
      <c r="AD21" s="479"/>
      <c r="AE21" s="479"/>
    </row>
    <row r="22" ht="18" spans="1:31">
      <c r="A22" s="464">
        <v>19</v>
      </c>
      <c r="B22" s="14" t="s">
        <v>67</v>
      </c>
      <c r="C22" s="465">
        <v>48766</v>
      </c>
      <c r="D22" s="466">
        <v>12</v>
      </c>
      <c r="E22" s="467">
        <f t="shared" si="0"/>
        <v>585192</v>
      </c>
      <c r="F22" s="467"/>
      <c r="G22" s="467"/>
      <c r="H22" s="467"/>
      <c r="I22" s="467">
        <f t="shared" si="1"/>
        <v>585192</v>
      </c>
      <c r="J22" s="467">
        <v>200000</v>
      </c>
      <c r="K22" s="467">
        <v>0.2</v>
      </c>
      <c r="L22" s="467">
        <f t="shared" si="2"/>
        <v>117038.4</v>
      </c>
      <c r="M22" s="467">
        <f t="shared" si="3"/>
        <v>317038.4</v>
      </c>
      <c r="N22" s="467">
        <f t="shared" si="4"/>
        <v>317038.4</v>
      </c>
      <c r="O22" s="467"/>
      <c r="P22" s="467"/>
      <c r="Q22" s="467">
        <f t="shared" si="5"/>
        <v>0</v>
      </c>
      <c r="R22" s="467">
        <f t="shared" si="6"/>
        <v>0</v>
      </c>
      <c r="S22" s="467">
        <f t="shared" si="7"/>
        <v>0</v>
      </c>
      <c r="T22" s="467">
        <f t="shared" si="8"/>
        <v>0</v>
      </c>
      <c r="U22" s="467"/>
      <c r="V22" s="467">
        <f t="shared" si="9"/>
        <v>0</v>
      </c>
      <c r="W22" s="474">
        <v>12</v>
      </c>
      <c r="X22" s="467">
        <f t="shared" si="10"/>
        <v>0</v>
      </c>
      <c r="Y22" s="467"/>
      <c r="Z22" s="467">
        <f t="shared" si="11"/>
        <v>0</v>
      </c>
      <c r="AA22" s="479">
        <v>46666.6666666667</v>
      </c>
      <c r="AB22" s="479">
        <f t="shared" si="12"/>
        <v>-46666.6666666667</v>
      </c>
      <c r="AC22" s="479"/>
      <c r="AD22" s="479"/>
      <c r="AE22" s="479"/>
    </row>
    <row r="23" ht="18" spans="1:31">
      <c r="A23" s="464">
        <v>20</v>
      </c>
      <c r="B23" s="11" t="s">
        <v>70</v>
      </c>
      <c r="C23" s="465">
        <v>48766</v>
      </c>
      <c r="D23" s="466">
        <v>12</v>
      </c>
      <c r="E23" s="467">
        <f t="shared" si="0"/>
        <v>585192</v>
      </c>
      <c r="F23" s="467"/>
      <c r="G23" s="467"/>
      <c r="H23" s="467"/>
      <c r="I23" s="467">
        <f t="shared" si="1"/>
        <v>585192</v>
      </c>
      <c r="J23" s="467">
        <v>200000</v>
      </c>
      <c r="K23" s="467">
        <v>0.2</v>
      </c>
      <c r="L23" s="467">
        <f t="shared" si="2"/>
        <v>117038.4</v>
      </c>
      <c r="M23" s="467">
        <f t="shared" si="3"/>
        <v>317038.4</v>
      </c>
      <c r="N23" s="467">
        <f t="shared" si="4"/>
        <v>317038.4</v>
      </c>
      <c r="O23" s="467"/>
      <c r="P23" s="467">
        <f>IF(O23&lt;300000,0.07*O23,21000)</f>
        <v>0</v>
      </c>
      <c r="Q23" s="467">
        <f t="shared" si="5"/>
        <v>0</v>
      </c>
      <c r="R23" s="467">
        <f t="shared" si="6"/>
        <v>0</v>
      </c>
      <c r="S23" s="467">
        <f t="shared" si="7"/>
        <v>0</v>
      </c>
      <c r="T23" s="467">
        <f t="shared" si="8"/>
        <v>0</v>
      </c>
      <c r="U23" s="467"/>
      <c r="V23" s="467">
        <f t="shared" si="9"/>
        <v>0</v>
      </c>
      <c r="W23" s="474">
        <v>12</v>
      </c>
      <c r="X23" s="467">
        <f t="shared" si="10"/>
        <v>0</v>
      </c>
      <c r="Y23" s="467"/>
      <c r="Z23" s="467">
        <f t="shared" si="11"/>
        <v>0</v>
      </c>
      <c r="AA23" s="479">
        <v>42371.8157286667</v>
      </c>
      <c r="AB23" s="479">
        <f t="shared" si="12"/>
        <v>-42371.8157286667</v>
      </c>
      <c r="AC23" s="479"/>
      <c r="AD23" s="479"/>
      <c r="AE23" s="479"/>
    </row>
    <row r="24" ht="18" spans="1:31">
      <c r="A24" s="464">
        <v>21</v>
      </c>
      <c r="B24" s="14" t="s">
        <v>72</v>
      </c>
      <c r="C24" s="465">
        <v>31743.6666666642</v>
      </c>
      <c r="D24" s="466">
        <v>12</v>
      </c>
      <c r="E24" s="467">
        <f t="shared" si="0"/>
        <v>380923.99999997</v>
      </c>
      <c r="F24" s="467"/>
      <c r="G24" s="467"/>
      <c r="H24" s="467"/>
      <c r="I24" s="467">
        <f t="shared" si="1"/>
        <v>380923.99999997</v>
      </c>
      <c r="J24" s="467">
        <v>200000</v>
      </c>
      <c r="K24" s="467">
        <v>0.2</v>
      </c>
      <c r="L24" s="467">
        <f t="shared" si="2"/>
        <v>76184.799999994</v>
      </c>
      <c r="M24" s="467">
        <f t="shared" si="3"/>
        <v>276184.799999994</v>
      </c>
      <c r="N24" s="467">
        <f t="shared" si="4"/>
        <v>276184.799999994</v>
      </c>
      <c r="O24" s="467"/>
      <c r="P24" s="467"/>
      <c r="Q24" s="467">
        <f t="shared" si="5"/>
        <v>0</v>
      </c>
      <c r="R24" s="467">
        <f t="shared" si="6"/>
        <v>0</v>
      </c>
      <c r="S24" s="467">
        <f t="shared" si="7"/>
        <v>0</v>
      </c>
      <c r="T24" s="467">
        <f t="shared" si="8"/>
        <v>0</v>
      </c>
      <c r="U24" s="467"/>
      <c r="V24" s="467">
        <f t="shared" si="9"/>
        <v>0</v>
      </c>
      <c r="W24" s="474">
        <v>12</v>
      </c>
      <c r="X24" s="467">
        <f t="shared" si="10"/>
        <v>0</v>
      </c>
      <c r="Y24" s="467"/>
      <c r="Z24" s="467">
        <f t="shared" si="11"/>
        <v>0</v>
      </c>
      <c r="AA24" s="479">
        <v>23036.0123466667</v>
      </c>
      <c r="AB24" s="479">
        <f t="shared" si="12"/>
        <v>-23036.0123466667</v>
      </c>
      <c r="AC24" s="479"/>
      <c r="AD24" s="479"/>
      <c r="AE24" s="479"/>
    </row>
    <row r="25" ht="18" spans="1:31">
      <c r="A25" s="464">
        <v>22</v>
      </c>
      <c r="B25" s="14" t="s">
        <v>75</v>
      </c>
      <c r="C25" s="465">
        <v>31743.6666666642</v>
      </c>
      <c r="D25" s="466">
        <v>12</v>
      </c>
      <c r="E25" s="467">
        <f t="shared" si="0"/>
        <v>380923.99999997</v>
      </c>
      <c r="F25" s="467"/>
      <c r="G25" s="467"/>
      <c r="H25" s="467"/>
      <c r="I25" s="467">
        <f t="shared" si="1"/>
        <v>380923.99999997</v>
      </c>
      <c r="J25" s="467">
        <v>200000</v>
      </c>
      <c r="K25" s="467">
        <v>0.2</v>
      </c>
      <c r="L25" s="467">
        <f t="shared" si="2"/>
        <v>76184.799999994</v>
      </c>
      <c r="M25" s="467">
        <f t="shared" si="3"/>
        <v>276184.799999994</v>
      </c>
      <c r="N25" s="467">
        <f t="shared" si="4"/>
        <v>276184.799999994</v>
      </c>
      <c r="O25" s="467"/>
      <c r="P25" s="467"/>
      <c r="Q25" s="467">
        <f t="shared" si="5"/>
        <v>0</v>
      </c>
      <c r="R25" s="467">
        <f t="shared" si="6"/>
        <v>0</v>
      </c>
      <c r="S25" s="467">
        <f t="shared" si="7"/>
        <v>0</v>
      </c>
      <c r="T25" s="467">
        <f t="shared" si="8"/>
        <v>0</v>
      </c>
      <c r="U25" s="467"/>
      <c r="V25" s="467">
        <f t="shared" si="9"/>
        <v>0</v>
      </c>
      <c r="W25" s="474">
        <v>12</v>
      </c>
      <c r="X25" s="467">
        <f t="shared" si="10"/>
        <v>0</v>
      </c>
      <c r="Y25" s="467"/>
      <c r="Z25" s="467">
        <f t="shared" si="11"/>
        <v>0</v>
      </c>
      <c r="AA25" s="479">
        <v>23036.0123466667</v>
      </c>
      <c r="AB25" s="479">
        <f t="shared" si="12"/>
        <v>-23036.0123466667</v>
      </c>
      <c r="AC25" s="479"/>
      <c r="AD25" s="479"/>
      <c r="AE25" s="479"/>
    </row>
    <row r="26" ht="18" spans="1:31">
      <c r="A26" s="464">
        <v>23</v>
      </c>
      <c r="B26" s="4" t="s">
        <v>485</v>
      </c>
      <c r="C26" s="465">
        <v>29265.3333333321</v>
      </c>
      <c r="D26" s="466">
        <v>12</v>
      </c>
      <c r="E26" s="467">
        <f t="shared" si="0"/>
        <v>351183.999999985</v>
      </c>
      <c r="F26" s="467"/>
      <c r="G26" s="467"/>
      <c r="H26" s="467"/>
      <c r="I26" s="467">
        <f t="shared" si="1"/>
        <v>351183.999999985</v>
      </c>
      <c r="J26" s="467">
        <v>200000</v>
      </c>
      <c r="K26" s="467">
        <v>0.2</v>
      </c>
      <c r="L26" s="467">
        <f t="shared" si="2"/>
        <v>70236.799999997</v>
      </c>
      <c r="M26" s="467">
        <f t="shared" si="3"/>
        <v>270236.799999997</v>
      </c>
      <c r="N26" s="467">
        <f t="shared" si="4"/>
        <v>270236.799999997</v>
      </c>
      <c r="O26" s="467"/>
      <c r="P26" s="467"/>
      <c r="Q26" s="467">
        <f t="shared" si="5"/>
        <v>0</v>
      </c>
      <c r="R26" s="467">
        <f t="shared" si="6"/>
        <v>0</v>
      </c>
      <c r="S26" s="467">
        <f t="shared" si="7"/>
        <v>0</v>
      </c>
      <c r="T26" s="467">
        <f t="shared" si="8"/>
        <v>0</v>
      </c>
      <c r="U26" s="467"/>
      <c r="V26" s="467">
        <f t="shared" si="9"/>
        <v>0</v>
      </c>
      <c r="W26" s="474">
        <v>12</v>
      </c>
      <c r="X26" s="467">
        <f t="shared" si="10"/>
        <v>0</v>
      </c>
      <c r="Y26" s="467"/>
      <c r="Z26" s="467">
        <f t="shared" si="11"/>
        <v>0</v>
      </c>
      <c r="AA26" s="479">
        <v>29756.0123466667</v>
      </c>
      <c r="AB26" s="479">
        <f t="shared" si="12"/>
        <v>-29756.0123466667</v>
      </c>
      <c r="AC26" s="479"/>
      <c r="AD26" s="479"/>
      <c r="AE26" s="479"/>
    </row>
    <row r="27" ht="18" spans="1:31">
      <c r="A27" s="464">
        <v>24</v>
      </c>
      <c r="B27" s="18" t="s">
        <v>78</v>
      </c>
      <c r="C27" s="465">
        <v>29265.3333333321</v>
      </c>
      <c r="D27" s="466">
        <v>12</v>
      </c>
      <c r="E27" s="467">
        <f t="shared" si="0"/>
        <v>351183.999999985</v>
      </c>
      <c r="F27" s="467"/>
      <c r="G27" s="467"/>
      <c r="H27" s="467"/>
      <c r="I27" s="467">
        <f t="shared" si="1"/>
        <v>351183.999999985</v>
      </c>
      <c r="J27" s="467">
        <v>200000</v>
      </c>
      <c r="K27" s="467">
        <v>0.2</v>
      </c>
      <c r="L27" s="467">
        <f t="shared" si="2"/>
        <v>70236.799999997</v>
      </c>
      <c r="M27" s="467">
        <f t="shared" si="3"/>
        <v>270236.799999997</v>
      </c>
      <c r="N27" s="467">
        <f t="shared" si="4"/>
        <v>270236.799999997</v>
      </c>
      <c r="O27" s="467"/>
      <c r="P27" s="467"/>
      <c r="Q27" s="467">
        <f t="shared" si="5"/>
        <v>0</v>
      </c>
      <c r="R27" s="467">
        <f t="shared" si="6"/>
        <v>0</v>
      </c>
      <c r="S27" s="467">
        <f t="shared" si="7"/>
        <v>0</v>
      </c>
      <c r="T27" s="467">
        <f t="shared" si="8"/>
        <v>0</v>
      </c>
      <c r="U27" s="467"/>
      <c r="V27" s="467">
        <f t="shared" si="9"/>
        <v>0</v>
      </c>
      <c r="W27" s="474">
        <v>12</v>
      </c>
      <c r="X27" s="467">
        <f t="shared" si="10"/>
        <v>0</v>
      </c>
      <c r="Y27" s="467"/>
      <c r="Z27" s="467">
        <f t="shared" si="11"/>
        <v>0</v>
      </c>
      <c r="AA27" s="479">
        <v>22338.4826046667</v>
      </c>
      <c r="AB27" s="479">
        <f t="shared" si="12"/>
        <v>-22338.4826046667</v>
      </c>
      <c r="AC27" s="479"/>
      <c r="AD27" s="479"/>
      <c r="AE27" s="479"/>
    </row>
    <row r="28" ht="18" spans="1:31">
      <c r="A28" s="464">
        <v>25</v>
      </c>
      <c r="B28" s="11" t="s">
        <v>81</v>
      </c>
      <c r="C28" s="465">
        <v>29265.3333333321</v>
      </c>
      <c r="D28" s="466">
        <v>12</v>
      </c>
      <c r="E28" s="467">
        <f t="shared" si="0"/>
        <v>351183.999999985</v>
      </c>
      <c r="F28" s="467"/>
      <c r="G28" s="467"/>
      <c r="H28" s="467"/>
      <c r="I28" s="467">
        <f t="shared" si="1"/>
        <v>351183.999999985</v>
      </c>
      <c r="J28" s="467">
        <v>200000</v>
      </c>
      <c r="K28" s="467">
        <v>0.2</v>
      </c>
      <c r="L28" s="467">
        <f t="shared" si="2"/>
        <v>70236.799999997</v>
      </c>
      <c r="M28" s="467">
        <f t="shared" si="3"/>
        <v>270236.799999997</v>
      </c>
      <c r="N28" s="467">
        <f t="shared" si="4"/>
        <v>270236.799999997</v>
      </c>
      <c r="O28" s="467"/>
      <c r="P28" s="467"/>
      <c r="Q28" s="467">
        <f t="shared" si="5"/>
        <v>0</v>
      </c>
      <c r="R28" s="467">
        <f t="shared" si="6"/>
        <v>0</v>
      </c>
      <c r="S28" s="467">
        <f t="shared" si="7"/>
        <v>0</v>
      </c>
      <c r="T28" s="467">
        <f t="shared" si="8"/>
        <v>0</v>
      </c>
      <c r="U28" s="467"/>
      <c r="V28" s="467">
        <f t="shared" si="9"/>
        <v>0</v>
      </c>
      <c r="W28" s="474">
        <v>12</v>
      </c>
      <c r="X28" s="467">
        <f t="shared" si="10"/>
        <v>0</v>
      </c>
      <c r="Y28" s="467"/>
      <c r="Z28" s="467">
        <f t="shared" si="11"/>
        <v>0</v>
      </c>
      <c r="AA28" s="479">
        <v>21640.9528626667</v>
      </c>
      <c r="AB28" s="479">
        <f t="shared" si="12"/>
        <v>-21640.9528626667</v>
      </c>
      <c r="AC28" s="479"/>
      <c r="AD28" s="479"/>
      <c r="AE28" s="479"/>
    </row>
    <row r="29" ht="18" spans="1:31">
      <c r="A29" s="464">
        <v>26</v>
      </c>
      <c r="B29" s="18" t="s">
        <v>83</v>
      </c>
      <c r="C29" s="465">
        <v>29265.3333333358</v>
      </c>
      <c r="D29" s="466">
        <v>12</v>
      </c>
      <c r="E29" s="467">
        <f t="shared" si="0"/>
        <v>351184.00000003</v>
      </c>
      <c r="F29" s="467"/>
      <c r="G29" s="467"/>
      <c r="H29" s="467"/>
      <c r="I29" s="467">
        <f t="shared" si="1"/>
        <v>351184.00000003</v>
      </c>
      <c r="J29" s="467">
        <v>200000</v>
      </c>
      <c r="K29" s="467">
        <v>0.2</v>
      </c>
      <c r="L29" s="467">
        <f t="shared" si="2"/>
        <v>70236.800000006</v>
      </c>
      <c r="M29" s="467">
        <f t="shared" si="3"/>
        <v>270236.800000006</v>
      </c>
      <c r="N29" s="467">
        <f t="shared" si="4"/>
        <v>270236.800000006</v>
      </c>
      <c r="O29" s="467"/>
      <c r="P29" s="467"/>
      <c r="Q29" s="467">
        <f t="shared" si="5"/>
        <v>0</v>
      </c>
      <c r="R29" s="467">
        <f t="shared" si="6"/>
        <v>0</v>
      </c>
      <c r="S29" s="467">
        <f t="shared" si="7"/>
        <v>0</v>
      </c>
      <c r="T29" s="467">
        <f t="shared" si="8"/>
        <v>0</v>
      </c>
      <c r="U29" s="467"/>
      <c r="V29" s="467">
        <f t="shared" si="9"/>
        <v>0</v>
      </c>
      <c r="W29" s="474">
        <v>12</v>
      </c>
      <c r="X29" s="467">
        <f t="shared" si="10"/>
        <v>0</v>
      </c>
      <c r="Y29" s="467"/>
      <c r="Z29" s="467">
        <f t="shared" si="11"/>
        <v>0</v>
      </c>
      <c r="AA29" s="479">
        <v>21640.9528626667</v>
      </c>
      <c r="AB29" s="479">
        <f t="shared" si="12"/>
        <v>-21640.9528626667</v>
      </c>
      <c r="AC29" s="479"/>
      <c r="AD29" s="479"/>
      <c r="AE29" s="479"/>
    </row>
    <row r="30" ht="18" spans="1:31">
      <c r="A30" s="464">
        <v>27</v>
      </c>
      <c r="B30" s="18" t="s">
        <v>86</v>
      </c>
      <c r="C30" s="465">
        <v>29265.3333333321</v>
      </c>
      <c r="D30" s="466">
        <v>12</v>
      </c>
      <c r="E30" s="467">
        <f t="shared" si="0"/>
        <v>351183.999999985</v>
      </c>
      <c r="F30" s="467"/>
      <c r="G30" s="467"/>
      <c r="H30" s="467"/>
      <c r="I30" s="467">
        <f t="shared" si="1"/>
        <v>351183.999999985</v>
      </c>
      <c r="J30" s="467">
        <v>200000</v>
      </c>
      <c r="K30" s="467">
        <v>0.2</v>
      </c>
      <c r="L30" s="467">
        <f t="shared" si="2"/>
        <v>70236.799999997</v>
      </c>
      <c r="M30" s="467">
        <f t="shared" si="3"/>
        <v>270236.799999997</v>
      </c>
      <c r="N30" s="467">
        <f t="shared" si="4"/>
        <v>270236.799999997</v>
      </c>
      <c r="O30" s="467"/>
      <c r="P30" s="467"/>
      <c r="Q30" s="467">
        <f t="shared" si="5"/>
        <v>0</v>
      </c>
      <c r="R30" s="467">
        <f t="shared" si="6"/>
        <v>0</v>
      </c>
      <c r="S30" s="467">
        <f t="shared" si="7"/>
        <v>0</v>
      </c>
      <c r="T30" s="467">
        <f t="shared" si="8"/>
        <v>0</v>
      </c>
      <c r="U30" s="467"/>
      <c r="V30" s="467">
        <f t="shared" si="9"/>
        <v>0</v>
      </c>
      <c r="W30" s="474">
        <v>12</v>
      </c>
      <c r="X30" s="467">
        <f t="shared" si="10"/>
        <v>0</v>
      </c>
      <c r="Y30" s="467"/>
      <c r="Z30" s="467">
        <f t="shared" si="11"/>
        <v>0</v>
      </c>
      <c r="AA30" s="479">
        <v>22338.4826046667</v>
      </c>
      <c r="AB30" s="479">
        <f t="shared" si="12"/>
        <v>-22338.4826046667</v>
      </c>
      <c r="AC30" s="479"/>
      <c r="AD30" s="479"/>
      <c r="AE30" s="479"/>
    </row>
    <row r="31" ht="18" spans="1:31">
      <c r="A31" s="464">
        <v>28</v>
      </c>
      <c r="B31" s="18" t="s">
        <v>89</v>
      </c>
      <c r="C31" s="465">
        <v>29265.3333333321</v>
      </c>
      <c r="D31" s="466">
        <v>12</v>
      </c>
      <c r="E31" s="467">
        <f t="shared" si="0"/>
        <v>351183.999999985</v>
      </c>
      <c r="F31" s="467"/>
      <c r="G31" s="468"/>
      <c r="H31" s="467"/>
      <c r="I31" s="467">
        <f t="shared" si="1"/>
        <v>351183.999999985</v>
      </c>
      <c r="J31" s="467">
        <v>200000</v>
      </c>
      <c r="K31" s="467">
        <v>0.2</v>
      </c>
      <c r="L31" s="467">
        <f t="shared" si="2"/>
        <v>70236.799999997</v>
      </c>
      <c r="M31" s="467">
        <f t="shared" si="3"/>
        <v>270236.799999997</v>
      </c>
      <c r="N31" s="467">
        <f t="shared" si="4"/>
        <v>270236.799999997</v>
      </c>
      <c r="O31" s="467"/>
      <c r="P31" s="467"/>
      <c r="Q31" s="467">
        <f t="shared" si="5"/>
        <v>0</v>
      </c>
      <c r="R31" s="467">
        <f t="shared" si="6"/>
        <v>0</v>
      </c>
      <c r="S31" s="467">
        <f t="shared" si="7"/>
        <v>0</v>
      </c>
      <c r="T31" s="467">
        <f t="shared" si="8"/>
        <v>0</v>
      </c>
      <c r="U31" s="467"/>
      <c r="V31" s="467">
        <f t="shared" si="9"/>
        <v>0</v>
      </c>
      <c r="W31" s="474">
        <v>12</v>
      </c>
      <c r="X31" s="467">
        <f t="shared" si="10"/>
        <v>0</v>
      </c>
      <c r="Y31" s="467"/>
      <c r="Z31" s="467">
        <f t="shared" si="11"/>
        <v>0</v>
      </c>
      <c r="AA31" s="479">
        <v>17572.8850026667</v>
      </c>
      <c r="AB31" s="479">
        <f t="shared" si="12"/>
        <v>-17572.8850026667</v>
      </c>
      <c r="AC31" s="479"/>
      <c r="AD31" s="479"/>
      <c r="AE31" s="479"/>
    </row>
    <row r="32" ht="18" spans="1:31">
      <c r="A32" s="464">
        <v>29</v>
      </c>
      <c r="B32" s="18" t="s">
        <v>91</v>
      </c>
      <c r="C32" s="465">
        <v>29265.3333333321</v>
      </c>
      <c r="D32" s="466">
        <v>12</v>
      </c>
      <c r="E32" s="467">
        <f t="shared" si="0"/>
        <v>351183.999999985</v>
      </c>
      <c r="F32" s="467"/>
      <c r="G32" s="468"/>
      <c r="H32" s="467"/>
      <c r="I32" s="467">
        <f t="shared" si="1"/>
        <v>351183.999999985</v>
      </c>
      <c r="J32" s="467">
        <v>200000</v>
      </c>
      <c r="K32" s="467">
        <v>0.2</v>
      </c>
      <c r="L32" s="467">
        <f t="shared" si="2"/>
        <v>70236.799999997</v>
      </c>
      <c r="M32" s="467">
        <f t="shared" si="3"/>
        <v>270236.799999997</v>
      </c>
      <c r="N32" s="467">
        <f t="shared" si="4"/>
        <v>270236.799999997</v>
      </c>
      <c r="O32" s="467"/>
      <c r="P32" s="467"/>
      <c r="Q32" s="467">
        <f t="shared" si="5"/>
        <v>0</v>
      </c>
      <c r="R32" s="467">
        <f t="shared" si="6"/>
        <v>0</v>
      </c>
      <c r="S32" s="467">
        <f t="shared" si="7"/>
        <v>0</v>
      </c>
      <c r="T32" s="467">
        <f t="shared" si="8"/>
        <v>0</v>
      </c>
      <c r="U32" s="467"/>
      <c r="V32" s="467">
        <f t="shared" si="9"/>
        <v>0</v>
      </c>
      <c r="W32" s="474">
        <v>12</v>
      </c>
      <c r="X32" s="467">
        <f t="shared" si="10"/>
        <v>0</v>
      </c>
      <c r="Y32" s="467"/>
      <c r="Z32" s="467">
        <f t="shared" si="11"/>
        <v>0</v>
      </c>
      <c r="AA32" s="479">
        <v>16512.6821906667</v>
      </c>
      <c r="AB32" s="479">
        <f t="shared" si="12"/>
        <v>-16512.6821906667</v>
      </c>
      <c r="AC32" s="479"/>
      <c r="AD32" s="479"/>
      <c r="AE32" s="479"/>
    </row>
    <row r="33" ht="18" spans="1:31">
      <c r="A33" s="464"/>
      <c r="B33" s="18" t="s">
        <v>93</v>
      </c>
      <c r="C33" s="465">
        <v>29265.3333333321</v>
      </c>
      <c r="D33" s="466">
        <v>12</v>
      </c>
      <c r="E33" s="467">
        <f t="shared" si="0"/>
        <v>351183.999999985</v>
      </c>
      <c r="F33" s="467"/>
      <c r="G33" s="468"/>
      <c r="H33" s="467"/>
      <c r="I33" s="467">
        <f t="shared" si="1"/>
        <v>351183.999999985</v>
      </c>
      <c r="J33" s="467">
        <v>200000</v>
      </c>
      <c r="K33" s="467">
        <v>0.2</v>
      </c>
      <c r="L33" s="467">
        <f t="shared" si="2"/>
        <v>70236.799999997</v>
      </c>
      <c r="M33" s="467">
        <f t="shared" si="3"/>
        <v>270236.799999997</v>
      </c>
      <c r="N33" s="467">
        <f t="shared" si="4"/>
        <v>270236.799999997</v>
      </c>
      <c r="O33" s="467"/>
      <c r="P33" s="467"/>
      <c r="Q33" s="467">
        <f t="shared" si="5"/>
        <v>0</v>
      </c>
      <c r="R33" s="467">
        <f t="shared" si="6"/>
        <v>0</v>
      </c>
      <c r="S33" s="467">
        <f t="shared" si="7"/>
        <v>0</v>
      </c>
      <c r="T33" s="467">
        <f t="shared" si="8"/>
        <v>0</v>
      </c>
      <c r="U33" s="467"/>
      <c r="V33" s="467">
        <f t="shared" si="9"/>
        <v>0</v>
      </c>
      <c r="W33" s="474">
        <v>12</v>
      </c>
      <c r="X33" s="467">
        <f t="shared" si="10"/>
        <v>0</v>
      </c>
      <c r="Y33" s="467"/>
      <c r="Z33" s="467">
        <f t="shared" si="11"/>
        <v>0</v>
      </c>
      <c r="AA33" s="479"/>
      <c r="AB33" s="479"/>
      <c r="AC33" s="479"/>
      <c r="AD33" s="479"/>
      <c r="AE33" s="479"/>
    </row>
    <row r="34" ht="18" spans="1:31">
      <c r="A34" s="464"/>
      <c r="B34" s="18" t="s">
        <v>95</v>
      </c>
      <c r="C34" s="465">
        <v>29265.3333333321</v>
      </c>
      <c r="D34" s="466">
        <v>12</v>
      </c>
      <c r="E34" s="467">
        <f t="shared" si="0"/>
        <v>351183.999999985</v>
      </c>
      <c r="F34" s="467"/>
      <c r="G34" s="468"/>
      <c r="H34" s="467"/>
      <c r="I34" s="467">
        <f t="shared" si="1"/>
        <v>351183.999999985</v>
      </c>
      <c r="J34" s="467">
        <v>200000</v>
      </c>
      <c r="K34" s="467">
        <v>0.2</v>
      </c>
      <c r="L34" s="467">
        <f t="shared" si="2"/>
        <v>70236.799999997</v>
      </c>
      <c r="M34" s="467">
        <f t="shared" si="3"/>
        <v>270236.799999997</v>
      </c>
      <c r="N34" s="467">
        <f t="shared" si="4"/>
        <v>270236.799999997</v>
      </c>
      <c r="O34" s="467">
        <f>E34-N34</f>
        <v>80947.1999999881</v>
      </c>
      <c r="P34" s="467">
        <f>IF(O34&lt;300000,0.07*O34,21000)</f>
        <v>5666.30399999917</v>
      </c>
      <c r="Q34" s="467">
        <f t="shared" si="5"/>
        <v>0</v>
      </c>
      <c r="R34" s="467">
        <f t="shared" si="6"/>
        <v>0</v>
      </c>
      <c r="S34" s="467">
        <f t="shared" si="7"/>
        <v>0</v>
      </c>
      <c r="T34" s="467">
        <f t="shared" si="8"/>
        <v>0</v>
      </c>
      <c r="U34" s="467"/>
      <c r="V34" s="467">
        <f t="shared" si="9"/>
        <v>5666.30399999917</v>
      </c>
      <c r="W34" s="474">
        <v>12</v>
      </c>
      <c r="X34" s="467">
        <f t="shared" si="10"/>
        <v>472.19199999993</v>
      </c>
      <c r="Y34" s="467"/>
      <c r="Z34" s="467">
        <f t="shared" si="11"/>
        <v>472.19199999993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103</v>
      </c>
      <c r="C35" s="467">
        <v>24688.666666668</v>
      </c>
      <c r="D35" s="466">
        <v>12</v>
      </c>
      <c r="E35" s="467">
        <f t="shared" si="0"/>
        <v>296264.000000016</v>
      </c>
      <c r="F35" s="470"/>
      <c r="G35" s="468"/>
      <c r="H35" s="470"/>
      <c r="I35" s="467">
        <f t="shared" si="1"/>
        <v>296264.000000016</v>
      </c>
      <c r="J35" s="467">
        <v>200000</v>
      </c>
      <c r="K35" s="467">
        <v>0.2</v>
      </c>
      <c r="L35" s="467">
        <f t="shared" si="2"/>
        <v>59252.8000000033</v>
      </c>
      <c r="M35" s="467">
        <f t="shared" si="3"/>
        <v>259252.800000003</v>
      </c>
      <c r="N35" s="467">
        <f t="shared" si="4"/>
        <v>259252.800000003</v>
      </c>
      <c r="O35" s="467">
        <f>E35-N35</f>
        <v>37011.2000000131</v>
      </c>
      <c r="P35" s="467">
        <f>IF(O35&lt;300000,0.07*O35,21000)</f>
        <v>2590.78400000091</v>
      </c>
      <c r="Q35" s="467">
        <f t="shared" si="5"/>
        <v>0</v>
      </c>
      <c r="R35" s="467">
        <f t="shared" si="6"/>
        <v>0</v>
      </c>
      <c r="S35" s="467">
        <f t="shared" si="7"/>
        <v>0</v>
      </c>
      <c r="T35" s="467">
        <f t="shared" si="8"/>
        <v>0</v>
      </c>
      <c r="U35" s="467"/>
      <c r="V35" s="467">
        <f t="shared" si="9"/>
        <v>2590.78400000091</v>
      </c>
      <c r="W35" s="474">
        <v>12</v>
      </c>
      <c r="X35" s="467">
        <f t="shared" si="10"/>
        <v>215.898666666743</v>
      </c>
      <c r="Y35" s="470"/>
      <c r="Z35" s="467">
        <f t="shared" si="11"/>
        <v>215.898666666743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106</v>
      </c>
      <c r="C36" s="467">
        <v>24688.666666668</v>
      </c>
      <c r="D36" s="466">
        <v>12</v>
      </c>
      <c r="E36" s="467">
        <f t="shared" si="0"/>
        <v>296264.000000016</v>
      </c>
      <c r="F36" s="470"/>
      <c r="G36" s="468"/>
      <c r="H36" s="470"/>
      <c r="I36" s="467">
        <f t="shared" si="1"/>
        <v>296264.000000016</v>
      </c>
      <c r="J36" s="467">
        <v>200000</v>
      </c>
      <c r="K36" s="467">
        <v>0.2</v>
      </c>
      <c r="L36" s="467">
        <f t="shared" si="2"/>
        <v>59252.8000000033</v>
      </c>
      <c r="M36" s="467">
        <f t="shared" si="3"/>
        <v>259252.800000003</v>
      </c>
      <c r="N36" s="467">
        <f t="shared" si="4"/>
        <v>259252.800000003</v>
      </c>
      <c r="O36" s="467">
        <f>E36-N36</f>
        <v>37011.2000000131</v>
      </c>
      <c r="P36" s="467">
        <f>IF(O36&lt;300000,0.07*O36,21000)</f>
        <v>2590.78400000091</v>
      </c>
      <c r="Q36" s="467">
        <f t="shared" si="5"/>
        <v>0</v>
      </c>
      <c r="R36" s="467">
        <f t="shared" si="6"/>
        <v>0</v>
      </c>
      <c r="S36" s="467">
        <f t="shared" si="7"/>
        <v>0</v>
      </c>
      <c r="T36" s="467">
        <f t="shared" si="8"/>
        <v>0</v>
      </c>
      <c r="U36" s="467"/>
      <c r="V36" s="467">
        <f t="shared" si="9"/>
        <v>2590.78400000091</v>
      </c>
      <c r="W36" s="474">
        <v>12</v>
      </c>
      <c r="X36" s="467">
        <f t="shared" si="10"/>
        <v>215.898666666743</v>
      </c>
      <c r="Y36" s="470"/>
      <c r="Z36" s="467">
        <f t="shared" si="11"/>
        <v>215.898666666743</v>
      </c>
      <c r="AA36" s="479"/>
      <c r="AB36" s="479"/>
      <c r="AC36" s="479"/>
      <c r="AD36" s="479"/>
      <c r="AE36" s="479"/>
    </row>
    <row r="37" ht="17.5" spans="1:31">
      <c r="A37" s="464"/>
      <c r="B37" s="20" t="s">
        <v>120</v>
      </c>
      <c r="C37" s="467">
        <v>987273.666666653</v>
      </c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7.5" spans="1:31">
      <c r="A38" s="464"/>
      <c r="B38" s="22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0" t="s">
        <v>121</v>
      </c>
      <c r="C39" s="465"/>
      <c r="D39" s="466"/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67"/>
      <c r="Z39" s="467"/>
      <c r="AA39" s="479"/>
      <c r="AB39" s="479"/>
      <c r="AC39" s="479"/>
      <c r="AD39" s="479"/>
      <c r="AE39" s="479"/>
    </row>
    <row r="40" ht="18" spans="1:31">
      <c r="A40" s="464"/>
      <c r="B40" s="18" t="s">
        <v>122</v>
      </c>
      <c r="C40" s="465"/>
      <c r="D40" s="466"/>
      <c r="E40" s="467"/>
      <c r="F40" s="467"/>
      <c r="G40" s="467"/>
      <c r="H40" s="467"/>
      <c r="I40" s="467"/>
      <c r="J40" s="467"/>
      <c r="K40" s="467"/>
      <c r="L40" s="467"/>
      <c r="M40" s="467"/>
      <c r="N40" s="467"/>
      <c r="O40" s="467"/>
      <c r="P40" s="467"/>
      <c r="Q40" s="467"/>
      <c r="R40" s="467"/>
      <c r="S40" s="467"/>
      <c r="T40" s="467"/>
      <c r="U40" s="467"/>
      <c r="V40" s="467"/>
      <c r="W40" s="474"/>
      <c r="X40" s="467"/>
      <c r="Y40" s="467"/>
      <c r="Z40" s="467"/>
      <c r="AA40" s="479"/>
      <c r="AB40" s="479"/>
      <c r="AC40" s="479"/>
      <c r="AD40" s="479"/>
      <c r="AE40" s="479"/>
    </row>
    <row r="41" ht="18" spans="1:31">
      <c r="A41" s="464">
        <v>33</v>
      </c>
      <c r="B41" s="18" t="s">
        <v>127</v>
      </c>
      <c r="C41" s="473">
        <v>31743.6666666642</v>
      </c>
      <c r="D41" s="466">
        <v>12</v>
      </c>
      <c r="E41" s="467">
        <f t="shared" ref="E39:E43" si="13">C41*D41</f>
        <v>380923.99999997</v>
      </c>
      <c r="F41" s="467"/>
      <c r="G41" s="468"/>
      <c r="H41" s="467"/>
      <c r="I41" s="467">
        <f t="shared" ref="I39:I43" si="14">E41-F41-G41-H41</f>
        <v>380923.99999997</v>
      </c>
      <c r="J41" s="467">
        <v>200000</v>
      </c>
      <c r="K41" s="467">
        <v>0.2</v>
      </c>
      <c r="L41" s="467">
        <f t="shared" ref="L39:L43" si="15">I41*K41</f>
        <v>76184.799999994</v>
      </c>
      <c r="M41" s="467">
        <f t="shared" ref="M39:M43" si="16">J41+L41</f>
        <v>276184.799999994</v>
      </c>
      <c r="N41" s="467">
        <f t="shared" ref="N39:N43" si="17">F41+G41+H41+M41</f>
        <v>276184.799999994</v>
      </c>
      <c r="O41" s="467">
        <f t="shared" ref="O39:O43" si="18">E41-N41</f>
        <v>104739.199999976</v>
      </c>
      <c r="P41" s="467">
        <f t="shared" ref="P39:P43" si="19">IF(O41&lt;300000,0.07*O41,21000)</f>
        <v>7331.74399999833</v>
      </c>
      <c r="Q41" s="467">
        <f t="shared" ref="Q39:Q43" si="20">IF((O41-300000)&lt;0,0,IF((O41-300000)&lt;300000,0.11*(O41-300000),33000))</f>
        <v>0</v>
      </c>
      <c r="R41" s="467">
        <f t="shared" ref="R39:R43" si="21">IF((O41-600000)&lt;0,0,IF((O41-600000)&lt;500000,0.15*(O41-600000),75000))</f>
        <v>0</v>
      </c>
      <c r="S41" s="467">
        <f t="shared" ref="S39:S43" si="22">IF((O41-1100000)&lt;0,0,IF((O41-1100000)&lt;500000,0.19*(O41-1100000),95000))</f>
        <v>0</v>
      </c>
      <c r="T41" s="467">
        <f t="shared" ref="T39:T43" si="23">IF((O41-1600000)&lt;0,0,IF((O41-1600000)&lt;1600000,0.21*(O41-1600000),336000))</f>
        <v>0</v>
      </c>
      <c r="U41" s="467"/>
      <c r="V41" s="467">
        <f t="shared" ref="V39:V43" si="24">P41+Q41+R41+S41+T41+U41</f>
        <v>7331.74399999833</v>
      </c>
      <c r="W41" s="467">
        <v>12</v>
      </c>
      <c r="X41" s="467">
        <f t="shared" ref="X39:X43" si="25">V41/W41</f>
        <v>610.978666666528</v>
      </c>
      <c r="Y41" s="467"/>
      <c r="Z41" s="467">
        <f t="shared" ref="Z39:Z43" si="26">X41</f>
        <v>610.978666666528</v>
      </c>
      <c r="AA41" s="479">
        <v>26339.0784066667</v>
      </c>
      <c r="AB41" s="467">
        <f t="shared" ref="AB39:AB43" si="27">Z41-AA41</f>
        <v>-25728.0997400002</v>
      </c>
      <c r="AC41" s="479"/>
      <c r="AD41" s="479"/>
      <c r="AE41" s="479"/>
    </row>
    <row r="42" ht="18" spans="1:31">
      <c r="A42" s="464">
        <v>33</v>
      </c>
      <c r="B42" s="11" t="s">
        <v>129</v>
      </c>
      <c r="C42" s="473">
        <v>31743.6666666679</v>
      </c>
      <c r="D42" s="466">
        <v>12</v>
      </c>
      <c r="E42" s="467">
        <f t="shared" si="13"/>
        <v>380924.000000015</v>
      </c>
      <c r="F42" s="467"/>
      <c r="G42" s="468"/>
      <c r="H42" s="467"/>
      <c r="I42" s="467">
        <f t="shared" si="14"/>
        <v>380924.000000015</v>
      </c>
      <c r="J42" s="467">
        <v>200000</v>
      </c>
      <c r="K42" s="467">
        <v>0.2</v>
      </c>
      <c r="L42" s="467">
        <f t="shared" si="15"/>
        <v>76184.800000003</v>
      </c>
      <c r="M42" s="467">
        <f t="shared" si="16"/>
        <v>276184.800000003</v>
      </c>
      <c r="N42" s="467">
        <f t="shared" si="17"/>
        <v>276184.800000003</v>
      </c>
      <c r="O42" s="467">
        <f t="shared" si="18"/>
        <v>104739.200000012</v>
      </c>
      <c r="P42" s="467">
        <f t="shared" si="19"/>
        <v>7331.74400000084</v>
      </c>
      <c r="Q42" s="467">
        <f t="shared" si="20"/>
        <v>0</v>
      </c>
      <c r="R42" s="467">
        <f t="shared" si="21"/>
        <v>0</v>
      </c>
      <c r="S42" s="467">
        <f t="shared" si="22"/>
        <v>0</v>
      </c>
      <c r="T42" s="467">
        <f t="shared" si="23"/>
        <v>0</v>
      </c>
      <c r="U42" s="467"/>
      <c r="V42" s="467">
        <f t="shared" si="24"/>
        <v>7331.74400000084</v>
      </c>
      <c r="W42" s="467">
        <v>12</v>
      </c>
      <c r="X42" s="467">
        <f t="shared" si="25"/>
        <v>610.978666666736</v>
      </c>
      <c r="Y42" s="467"/>
      <c r="Z42" s="467">
        <f t="shared" si="26"/>
        <v>610.978666666736</v>
      </c>
      <c r="AA42" s="479">
        <v>26339.0784066667</v>
      </c>
      <c r="AB42" s="467">
        <f t="shared" si="27"/>
        <v>-25728.09974</v>
      </c>
      <c r="AC42" s="479"/>
      <c r="AD42" s="479"/>
      <c r="AE42" s="479"/>
    </row>
    <row r="43" ht="18" spans="1:31">
      <c r="A43" s="464"/>
      <c r="B43" s="11" t="s">
        <v>133</v>
      </c>
      <c r="C43" s="473">
        <v>29265.3333333321</v>
      </c>
      <c r="D43" s="466">
        <v>12</v>
      </c>
      <c r="E43" s="467">
        <f t="shared" si="13"/>
        <v>351183.999999985</v>
      </c>
      <c r="F43" s="467"/>
      <c r="G43" s="468"/>
      <c r="H43" s="467"/>
      <c r="I43" s="467">
        <f t="shared" si="14"/>
        <v>351183.999999985</v>
      </c>
      <c r="J43" s="467">
        <v>200000</v>
      </c>
      <c r="K43" s="467">
        <v>0.2</v>
      </c>
      <c r="L43" s="467">
        <f t="shared" si="15"/>
        <v>70236.799999997</v>
      </c>
      <c r="M43" s="467">
        <f t="shared" si="16"/>
        <v>270236.799999997</v>
      </c>
      <c r="N43" s="467">
        <f t="shared" si="17"/>
        <v>270236.799999997</v>
      </c>
      <c r="O43" s="467">
        <f t="shared" si="18"/>
        <v>80947.1999999881</v>
      </c>
      <c r="P43" s="467">
        <f t="shared" si="19"/>
        <v>5666.30399999917</v>
      </c>
      <c r="Q43" s="467">
        <f t="shared" si="20"/>
        <v>0</v>
      </c>
      <c r="R43" s="467">
        <f t="shared" si="21"/>
        <v>0</v>
      </c>
      <c r="S43" s="467">
        <f t="shared" si="22"/>
        <v>0</v>
      </c>
      <c r="T43" s="467">
        <f t="shared" si="23"/>
        <v>0</v>
      </c>
      <c r="U43" s="467"/>
      <c r="V43" s="467">
        <f t="shared" si="24"/>
        <v>5666.30399999917</v>
      </c>
      <c r="W43" s="467">
        <v>12</v>
      </c>
      <c r="X43" s="467">
        <f t="shared" si="25"/>
        <v>472.19199999993</v>
      </c>
      <c r="Y43" s="467"/>
      <c r="Z43" s="467">
        <f t="shared" si="26"/>
        <v>472.19199999993</v>
      </c>
      <c r="AA43" s="479">
        <v>26339.0784066667</v>
      </c>
      <c r="AB43" s="467">
        <f t="shared" si="27"/>
        <v>-25866.8864066668</v>
      </c>
      <c r="AC43" s="479"/>
      <c r="AD43" s="479"/>
      <c r="AE43" s="479"/>
    </row>
    <row r="44" ht="18" spans="1:31">
      <c r="A44" s="464"/>
      <c r="B44" s="14"/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18" spans="1:31">
      <c r="A45" s="464">
        <v>35</v>
      </c>
      <c r="B45" s="14"/>
      <c r="C45" s="465"/>
      <c r="D45" s="466"/>
      <c r="E45" s="467"/>
      <c r="F45" s="467"/>
      <c r="G45" s="468"/>
      <c r="H45" s="467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>
        <f t="shared" ref="T45:T54" si="28">IF((O45-1600000)&lt;0,0,IF((O45-1600000)&lt;1600000,0.21*(O45-1600000),336000))</f>
        <v>0</v>
      </c>
      <c r="U45" s="467"/>
      <c r="V45" s="467">
        <f t="shared" ref="V45:V54" si="29">P45+Q45+R45+S45+T45+U45</f>
        <v>0</v>
      </c>
      <c r="W45" s="474">
        <v>12</v>
      </c>
      <c r="X45" s="467">
        <f t="shared" ref="X45:X54" si="30">V45/W45</f>
        <v>0</v>
      </c>
      <c r="Y45" s="467"/>
      <c r="Z45" s="467">
        <f t="shared" ref="Z45:Z54" si="31">X45</f>
        <v>0</v>
      </c>
      <c r="AA45" s="479">
        <v>180306.806858667</v>
      </c>
      <c r="AB45" s="479">
        <f t="shared" ref="AB45:AB54" si="32">Z45-AA45</f>
        <v>-180306.806858667</v>
      </c>
      <c r="AC45" s="479"/>
      <c r="AD45" s="479"/>
      <c r="AE45" s="479"/>
    </row>
    <row r="46" ht="17.5" spans="1:31">
      <c r="A46" s="464">
        <v>36</v>
      </c>
      <c r="B46" s="23" t="s">
        <v>137</v>
      </c>
      <c r="C46" s="467"/>
      <c r="D46" s="466"/>
      <c r="E46" s="467"/>
      <c r="F46" s="470"/>
      <c r="G46" s="468"/>
      <c r="H46" s="470"/>
      <c r="I46" s="467"/>
      <c r="J46" s="467"/>
      <c r="K46" s="467"/>
      <c r="L46" s="467"/>
      <c r="M46" s="467"/>
      <c r="N46" s="467"/>
      <c r="O46" s="467"/>
      <c r="P46" s="467"/>
      <c r="Q46" s="467"/>
      <c r="R46" s="467"/>
      <c r="S46" s="467"/>
      <c r="T46" s="467">
        <f t="shared" si="28"/>
        <v>0</v>
      </c>
      <c r="U46" s="467"/>
      <c r="V46" s="467">
        <f t="shared" si="29"/>
        <v>0</v>
      </c>
      <c r="W46" s="474">
        <v>12</v>
      </c>
      <c r="X46" s="467">
        <f t="shared" si="30"/>
        <v>0</v>
      </c>
      <c r="Y46" s="470"/>
      <c r="Z46" s="467">
        <f t="shared" si="31"/>
        <v>0</v>
      </c>
      <c r="AA46" s="479">
        <v>79956.9391466667</v>
      </c>
      <c r="AB46" s="479">
        <f t="shared" si="32"/>
        <v>-79956.9391466667</v>
      </c>
      <c r="AC46" s="479"/>
      <c r="AD46" s="479"/>
      <c r="AE46" s="479"/>
    </row>
    <row r="47" ht="18" spans="1:31">
      <c r="A47" s="464">
        <v>37</v>
      </c>
      <c r="B47" s="11" t="s">
        <v>138</v>
      </c>
      <c r="C47" s="467">
        <v>92678.3333333358</v>
      </c>
      <c r="D47" s="466">
        <v>12</v>
      </c>
      <c r="E47" s="467">
        <f t="shared" ref="E45:E54" si="33">C47*D47</f>
        <v>1112140.00000003</v>
      </c>
      <c r="F47" s="470"/>
      <c r="G47" s="468"/>
      <c r="H47" s="470"/>
      <c r="I47" s="467">
        <f t="shared" ref="I45:I54" si="34">E47-F47-G47-H47</f>
        <v>1112140.00000003</v>
      </c>
      <c r="J47" s="467">
        <v>200000</v>
      </c>
      <c r="K47" s="467">
        <v>0.2</v>
      </c>
      <c r="L47" s="467">
        <f t="shared" ref="L45:L54" si="35">I47*K47</f>
        <v>222428.000000006</v>
      </c>
      <c r="M47" s="467">
        <f t="shared" ref="M45:M54" si="36">J47+L47</f>
        <v>422428.000000006</v>
      </c>
      <c r="N47" s="467">
        <f t="shared" ref="N45:N54" si="37">F47+G47+H47+M47</f>
        <v>422428.000000006</v>
      </c>
      <c r="O47" s="467">
        <f t="shared" ref="O45:O54" si="38">E47-N47</f>
        <v>689712.000000024</v>
      </c>
      <c r="P47" s="467">
        <f t="shared" ref="P45:P54" si="39">IF(O47&lt;300000,0.07*O47,21000)</f>
        <v>21000</v>
      </c>
      <c r="Q47" s="467">
        <f t="shared" ref="Q45:Q54" si="40">IF((O47-300000)&lt;0,0,IF((O47-300000)&lt;300000,0.11*(O47-300000),33000))</f>
        <v>33000</v>
      </c>
      <c r="R47" s="467">
        <f t="shared" ref="R45:R54" si="41">IF((O47-600000)&lt;0,0,IF((O47-600000)&lt;500000,0.15*(O47-600000),75000))</f>
        <v>13456.8000000036</v>
      </c>
      <c r="S47" s="467">
        <f t="shared" ref="S45:S54" si="42">IF((O47-1100000)&lt;0,0,IF((O47-1100000)&lt;500000,0.19*(O47-1100000),95000))</f>
        <v>0</v>
      </c>
      <c r="T47" s="467">
        <f t="shared" si="28"/>
        <v>0</v>
      </c>
      <c r="U47" s="467"/>
      <c r="V47" s="467">
        <f t="shared" si="29"/>
        <v>67456.8000000036</v>
      </c>
      <c r="W47" s="474">
        <v>12</v>
      </c>
      <c r="X47" s="467">
        <f t="shared" si="30"/>
        <v>5621.4000000003</v>
      </c>
      <c r="Y47" s="470"/>
      <c r="Z47" s="467">
        <f t="shared" si="31"/>
        <v>5621.4000000003</v>
      </c>
      <c r="AA47" s="479">
        <v>97273.5138506667</v>
      </c>
      <c r="AB47" s="479">
        <f t="shared" si="32"/>
        <v>-91652.1138506664</v>
      </c>
      <c r="AC47" s="479"/>
      <c r="AD47" s="479"/>
      <c r="AE47" s="479"/>
    </row>
    <row r="48" ht="18" spans="1:31">
      <c r="A48" s="464">
        <v>38</v>
      </c>
      <c r="B48" s="11" t="s">
        <v>141</v>
      </c>
      <c r="C48" s="465"/>
      <c r="D48" s="466"/>
      <c r="E48" s="467"/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467"/>
      <c r="R48" s="467"/>
      <c r="S48" s="467"/>
      <c r="T48" s="467"/>
      <c r="U48" s="467"/>
      <c r="V48" s="467"/>
      <c r="W48" s="474"/>
      <c r="X48" s="467"/>
      <c r="Y48" s="467"/>
      <c r="Z48" s="467"/>
      <c r="AA48" s="479">
        <v>79956.9391466667</v>
      </c>
      <c r="AB48" s="479">
        <f t="shared" si="32"/>
        <v>-79956.9391466667</v>
      </c>
      <c r="AC48" s="479"/>
      <c r="AD48" s="479"/>
      <c r="AE48" s="479"/>
    </row>
    <row r="49" ht="18" spans="1:31">
      <c r="A49" s="464">
        <v>39</v>
      </c>
      <c r="B49" s="11" t="s">
        <v>143</v>
      </c>
      <c r="C49" s="465"/>
      <c r="D49" s="466"/>
      <c r="E49" s="467"/>
      <c r="F49" s="467"/>
      <c r="G49" s="467"/>
      <c r="H49" s="467"/>
      <c r="I49" s="467"/>
      <c r="J49" s="467"/>
      <c r="K49" s="467"/>
      <c r="L49" s="467"/>
      <c r="M49" s="467"/>
      <c r="N49" s="467"/>
      <c r="O49" s="467"/>
      <c r="P49" s="467"/>
      <c r="Q49" s="467"/>
      <c r="R49" s="467"/>
      <c r="S49" s="467"/>
      <c r="T49" s="467"/>
      <c r="U49" s="467"/>
      <c r="V49" s="467"/>
      <c r="W49" s="474"/>
      <c r="X49" s="467"/>
      <c r="Y49" s="467"/>
      <c r="Z49" s="467"/>
      <c r="AA49" s="479">
        <v>79796.1031466666</v>
      </c>
      <c r="AB49" s="479">
        <f t="shared" si="32"/>
        <v>-79796.1031466666</v>
      </c>
      <c r="AC49" s="479"/>
      <c r="AD49" s="479"/>
      <c r="AE49" s="479"/>
    </row>
    <row r="50" ht="18" spans="1:31">
      <c r="A50" s="464">
        <v>40</v>
      </c>
      <c r="B50" s="11" t="s">
        <v>144</v>
      </c>
      <c r="C50" s="467">
        <v>77115</v>
      </c>
      <c r="D50" s="466">
        <v>12</v>
      </c>
      <c r="E50" s="467">
        <f t="shared" si="33"/>
        <v>925380</v>
      </c>
      <c r="F50" s="467"/>
      <c r="G50" s="468"/>
      <c r="H50" s="470"/>
      <c r="I50" s="467">
        <f t="shared" si="34"/>
        <v>925380</v>
      </c>
      <c r="J50" s="467">
        <v>200000</v>
      </c>
      <c r="K50" s="467">
        <v>0.2</v>
      </c>
      <c r="L50" s="467">
        <f t="shared" si="35"/>
        <v>185076</v>
      </c>
      <c r="M50" s="467">
        <f t="shared" si="36"/>
        <v>385076</v>
      </c>
      <c r="N50" s="467">
        <f t="shared" si="37"/>
        <v>385076</v>
      </c>
      <c r="O50" s="467">
        <f t="shared" si="38"/>
        <v>540304</v>
      </c>
      <c r="P50" s="467">
        <f t="shared" si="39"/>
        <v>21000</v>
      </c>
      <c r="Q50" s="467">
        <f t="shared" si="40"/>
        <v>26433.44</v>
      </c>
      <c r="R50" s="467">
        <f t="shared" si="41"/>
        <v>0</v>
      </c>
      <c r="S50" s="467">
        <f t="shared" si="42"/>
        <v>0</v>
      </c>
      <c r="T50" s="467">
        <f t="shared" si="28"/>
        <v>0</v>
      </c>
      <c r="U50" s="467"/>
      <c r="V50" s="467">
        <f t="shared" si="29"/>
        <v>47433.44</v>
      </c>
      <c r="W50" s="474">
        <v>12</v>
      </c>
      <c r="X50" s="467">
        <f t="shared" si="30"/>
        <v>3952.78666666667</v>
      </c>
      <c r="Y50" s="470"/>
      <c r="Z50" s="467">
        <f t="shared" si="31"/>
        <v>3952.78666666667</v>
      </c>
      <c r="AA50" s="479">
        <v>75572.9156906667</v>
      </c>
      <c r="AB50" s="479">
        <f t="shared" si="32"/>
        <v>-71620.129024</v>
      </c>
      <c r="AC50" s="479"/>
      <c r="AD50" s="479"/>
      <c r="AE50" s="479"/>
    </row>
    <row r="51" ht="18" spans="1:31">
      <c r="A51" s="464">
        <v>41</v>
      </c>
      <c r="B51" s="14" t="s">
        <v>145</v>
      </c>
      <c r="C51" s="465"/>
      <c r="D51" s="466"/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67"/>
      <c r="Z51" s="467"/>
      <c r="AA51" s="479">
        <v>58026.6094346667</v>
      </c>
      <c r="AB51" s="479">
        <f t="shared" si="32"/>
        <v>-58026.6094346667</v>
      </c>
      <c r="AC51" s="479"/>
      <c r="AD51" s="479"/>
      <c r="AE51" s="479"/>
    </row>
    <row r="52" ht="18" spans="1:31">
      <c r="A52" s="464">
        <v>42</v>
      </c>
      <c r="B52" s="11" t="s">
        <v>149</v>
      </c>
      <c r="C52" s="467">
        <v>31743.6666666679</v>
      </c>
      <c r="D52" s="466">
        <v>12</v>
      </c>
      <c r="E52" s="467">
        <f t="shared" si="33"/>
        <v>380924.000000015</v>
      </c>
      <c r="F52" s="467"/>
      <c r="G52" s="468"/>
      <c r="H52" s="470"/>
      <c r="I52" s="467">
        <f t="shared" si="34"/>
        <v>380924.000000015</v>
      </c>
      <c r="J52" s="467">
        <v>200000</v>
      </c>
      <c r="K52" s="467">
        <v>0.2</v>
      </c>
      <c r="L52" s="467">
        <f t="shared" si="35"/>
        <v>76184.800000003</v>
      </c>
      <c r="M52" s="467">
        <f t="shared" si="36"/>
        <v>276184.800000003</v>
      </c>
      <c r="N52" s="467">
        <f t="shared" si="37"/>
        <v>276184.800000003</v>
      </c>
      <c r="O52" s="467">
        <f t="shared" si="38"/>
        <v>104739.200000012</v>
      </c>
      <c r="P52" s="467">
        <f t="shared" si="39"/>
        <v>7331.74400000084</v>
      </c>
      <c r="Q52" s="467">
        <f t="shared" si="40"/>
        <v>0</v>
      </c>
      <c r="R52" s="467">
        <f t="shared" si="41"/>
        <v>0</v>
      </c>
      <c r="S52" s="467">
        <f t="shared" si="42"/>
        <v>0</v>
      </c>
      <c r="T52" s="467">
        <f t="shared" si="28"/>
        <v>0</v>
      </c>
      <c r="U52" s="467"/>
      <c r="V52" s="467">
        <f t="shared" si="29"/>
        <v>7331.74400000084</v>
      </c>
      <c r="W52" s="474">
        <v>12</v>
      </c>
      <c r="X52" s="467">
        <f t="shared" si="30"/>
        <v>610.978666666736</v>
      </c>
      <c r="Y52" s="470"/>
      <c r="Z52" s="467">
        <f t="shared" si="31"/>
        <v>610.978666666736</v>
      </c>
      <c r="AA52" s="479">
        <v>33059.0784066667</v>
      </c>
      <c r="AB52" s="479">
        <f t="shared" si="32"/>
        <v>-32448.09974</v>
      </c>
      <c r="AC52" s="479"/>
      <c r="AD52" s="479"/>
      <c r="AE52" s="479"/>
    </row>
    <row r="53" ht="18" spans="1:31">
      <c r="A53" s="464">
        <v>43</v>
      </c>
      <c r="B53" s="11" t="s">
        <v>153</v>
      </c>
      <c r="C53" s="467">
        <v>29265.3333333358</v>
      </c>
      <c r="D53" s="466">
        <v>12</v>
      </c>
      <c r="E53" s="467">
        <f t="shared" si="33"/>
        <v>351184.00000003</v>
      </c>
      <c r="F53" s="467"/>
      <c r="G53" s="468"/>
      <c r="H53" s="470"/>
      <c r="I53" s="467">
        <f t="shared" si="34"/>
        <v>351184.00000003</v>
      </c>
      <c r="J53" s="467">
        <v>200000</v>
      </c>
      <c r="K53" s="467">
        <v>0.2</v>
      </c>
      <c r="L53" s="467">
        <f t="shared" si="35"/>
        <v>70236.800000006</v>
      </c>
      <c r="M53" s="467">
        <f t="shared" si="36"/>
        <v>270236.800000006</v>
      </c>
      <c r="N53" s="467">
        <f t="shared" si="37"/>
        <v>270236.800000006</v>
      </c>
      <c r="O53" s="467">
        <f t="shared" si="38"/>
        <v>80947.2000000238</v>
      </c>
      <c r="P53" s="467">
        <f t="shared" si="39"/>
        <v>5666.30400000167</v>
      </c>
      <c r="Q53" s="467">
        <f t="shared" si="40"/>
        <v>0</v>
      </c>
      <c r="R53" s="467">
        <f t="shared" si="41"/>
        <v>0</v>
      </c>
      <c r="S53" s="467">
        <f t="shared" si="42"/>
        <v>0</v>
      </c>
      <c r="T53" s="467">
        <f t="shared" si="28"/>
        <v>0</v>
      </c>
      <c r="U53" s="467"/>
      <c r="V53" s="467">
        <f t="shared" si="29"/>
        <v>5666.30400000167</v>
      </c>
      <c r="W53" s="474">
        <v>12</v>
      </c>
      <c r="X53" s="467">
        <f t="shared" si="30"/>
        <v>472.192000000139</v>
      </c>
      <c r="Y53" s="470"/>
      <c r="Z53" s="467">
        <f t="shared" si="31"/>
        <v>472.192000000139</v>
      </c>
      <c r="AA53" s="479">
        <v>29058.4826046667</v>
      </c>
      <c r="AB53" s="479">
        <f t="shared" si="32"/>
        <v>-28586.2906046666</v>
      </c>
      <c r="AC53" s="479"/>
      <c r="AD53" s="479"/>
      <c r="AE53" s="479"/>
    </row>
    <row r="54" ht="18" spans="1:31">
      <c r="A54" s="464">
        <v>44</v>
      </c>
      <c r="B54" s="11" t="s">
        <v>154</v>
      </c>
      <c r="C54" s="467">
        <v>29265.3333333358</v>
      </c>
      <c r="D54" s="466">
        <v>12</v>
      </c>
      <c r="E54" s="467">
        <f t="shared" si="33"/>
        <v>351184.00000003</v>
      </c>
      <c r="F54" s="467"/>
      <c r="G54" s="468"/>
      <c r="H54" s="470"/>
      <c r="I54" s="467">
        <f t="shared" si="34"/>
        <v>351184.00000003</v>
      </c>
      <c r="J54" s="467">
        <v>200000</v>
      </c>
      <c r="K54" s="467">
        <v>0.2</v>
      </c>
      <c r="L54" s="467">
        <f t="shared" si="35"/>
        <v>70236.800000006</v>
      </c>
      <c r="M54" s="467">
        <f t="shared" si="36"/>
        <v>270236.800000006</v>
      </c>
      <c r="N54" s="467">
        <f t="shared" si="37"/>
        <v>270236.800000006</v>
      </c>
      <c r="O54" s="467">
        <f t="shared" si="38"/>
        <v>80947.2000000238</v>
      </c>
      <c r="P54" s="467">
        <f t="shared" si="39"/>
        <v>5666.30400000167</v>
      </c>
      <c r="Q54" s="467">
        <f t="shared" si="40"/>
        <v>0</v>
      </c>
      <c r="R54" s="467">
        <f t="shared" si="41"/>
        <v>0</v>
      </c>
      <c r="S54" s="467">
        <f t="shared" si="42"/>
        <v>0</v>
      </c>
      <c r="T54" s="467">
        <f t="shared" si="28"/>
        <v>0</v>
      </c>
      <c r="U54" s="467"/>
      <c r="V54" s="467">
        <f t="shared" si="29"/>
        <v>5666.30400000167</v>
      </c>
      <c r="W54" s="474">
        <v>12</v>
      </c>
      <c r="X54" s="467">
        <f t="shared" si="30"/>
        <v>472.192000000139</v>
      </c>
      <c r="Y54" s="470"/>
      <c r="Z54" s="467">
        <f t="shared" si="31"/>
        <v>472.192000000139</v>
      </c>
      <c r="AA54" s="479">
        <v>28360.9528626667</v>
      </c>
      <c r="AB54" s="479">
        <f t="shared" si="32"/>
        <v>-27888.7608626666</v>
      </c>
      <c r="AC54" s="479"/>
      <c r="AD54" s="479"/>
      <c r="AE54" s="479"/>
    </row>
    <row r="55" ht="17.5" spans="1:31">
      <c r="A55" s="464"/>
      <c r="B55" s="20" t="s">
        <v>120</v>
      </c>
      <c r="C55" s="472">
        <v>260067.666666675</v>
      </c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156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157</v>
      </c>
      <c r="C58" s="465"/>
      <c r="D58" s="466"/>
      <c r="E58" s="467"/>
      <c r="F58" s="467"/>
      <c r="G58" s="467"/>
      <c r="H58" s="467"/>
      <c r="I58" s="467"/>
      <c r="J58" s="467"/>
      <c r="K58" s="467"/>
      <c r="L58" s="467"/>
      <c r="M58" s="467"/>
      <c r="N58" s="467"/>
      <c r="O58" s="467"/>
      <c r="P58" s="467"/>
      <c r="Q58" s="467"/>
      <c r="R58" s="467"/>
      <c r="S58" s="467"/>
      <c r="T58" s="467"/>
      <c r="U58" s="467"/>
      <c r="V58" s="467"/>
      <c r="W58" s="474"/>
      <c r="X58" s="467"/>
      <c r="Y58" s="467"/>
      <c r="Z58" s="467"/>
      <c r="AA58" s="479">
        <v>180306.806858667</v>
      </c>
      <c r="AB58" s="479">
        <f t="shared" ref="AB58:AB71" si="43">Z58-AA58</f>
        <v>-180306.806858667</v>
      </c>
      <c r="AC58" s="479"/>
      <c r="AD58" s="479"/>
      <c r="AE58" s="479"/>
    </row>
    <row r="59" ht="18" spans="1:31">
      <c r="A59" s="464">
        <v>48</v>
      </c>
      <c r="B59" s="11" t="s">
        <v>159</v>
      </c>
      <c r="C59" s="465"/>
      <c r="D59" s="466"/>
      <c r="E59" s="467"/>
      <c r="F59" s="467"/>
      <c r="G59" s="467"/>
      <c r="H59" s="467"/>
      <c r="I59" s="467"/>
      <c r="J59" s="467"/>
      <c r="K59" s="467"/>
      <c r="L59" s="467"/>
      <c r="M59" s="467"/>
      <c r="N59" s="467"/>
      <c r="O59" s="467"/>
      <c r="P59" s="467"/>
      <c r="Q59" s="467"/>
      <c r="R59" s="467"/>
      <c r="S59" s="467"/>
      <c r="T59" s="467"/>
      <c r="U59" s="467"/>
      <c r="V59" s="467"/>
      <c r="W59" s="474"/>
      <c r="X59" s="467"/>
      <c r="Y59" s="467"/>
      <c r="Z59" s="467"/>
      <c r="AA59" s="479">
        <v>64596.9391466667</v>
      </c>
      <c r="AB59" s="479">
        <f t="shared" si="43"/>
        <v>-64596.9391466667</v>
      </c>
      <c r="AC59" s="479"/>
      <c r="AD59" s="479"/>
      <c r="AE59" s="479"/>
    </row>
    <row r="60" ht="17.5" spans="1:31">
      <c r="A60" s="464"/>
      <c r="B60" s="20" t="s">
        <v>120</v>
      </c>
      <c r="C60" s="465"/>
      <c r="D60" s="466"/>
      <c r="E60" s="467"/>
      <c r="F60" s="467"/>
      <c r="G60" s="467"/>
      <c r="H60" s="467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67"/>
      <c r="Z60" s="467"/>
      <c r="AA60" s="479"/>
      <c r="AB60" s="479"/>
      <c r="AC60" s="479"/>
      <c r="AD60" s="479"/>
      <c r="AE60" s="479"/>
    </row>
    <row r="61" ht="17.5" spans="1:31">
      <c r="A61" s="464">
        <v>49</v>
      </c>
      <c r="B61" s="20"/>
      <c r="C61" s="465"/>
      <c r="D61" s="466"/>
      <c r="E61" s="467"/>
      <c r="F61" s="467"/>
      <c r="G61" s="467"/>
      <c r="H61" s="467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67"/>
      <c r="Z61" s="467"/>
      <c r="AA61" s="479"/>
      <c r="AB61" s="479"/>
      <c r="AC61" s="479"/>
      <c r="AD61" s="479"/>
      <c r="AE61" s="479"/>
    </row>
    <row r="62" ht="35" spans="1:31">
      <c r="A62" s="464">
        <v>50</v>
      </c>
      <c r="B62" s="20" t="s">
        <v>162</v>
      </c>
      <c r="C62" s="465"/>
      <c r="D62" s="466"/>
      <c r="E62" s="467"/>
      <c r="F62" s="467"/>
      <c r="G62" s="467"/>
      <c r="H62" s="467"/>
      <c r="I62" s="467"/>
      <c r="J62" s="467"/>
      <c r="K62" s="467"/>
      <c r="L62" s="467"/>
      <c r="M62" s="467"/>
      <c r="N62" s="467"/>
      <c r="O62" s="467"/>
      <c r="P62" s="467"/>
      <c r="Q62" s="467"/>
      <c r="R62" s="467"/>
      <c r="S62" s="467"/>
      <c r="T62" s="467"/>
      <c r="U62" s="467"/>
      <c r="V62" s="467"/>
      <c r="W62" s="474"/>
      <c r="X62" s="467"/>
      <c r="Y62" s="467"/>
      <c r="Z62" s="467"/>
      <c r="AA62" s="479">
        <v>180306.806858667</v>
      </c>
      <c r="AB62" s="479">
        <f t="shared" si="43"/>
        <v>-180306.806858667</v>
      </c>
      <c r="AC62" s="479"/>
      <c r="AD62" s="479"/>
      <c r="AE62" s="479"/>
    </row>
    <row r="63" ht="23.25" customHeight="1" spans="1:31">
      <c r="A63" s="464">
        <v>51</v>
      </c>
      <c r="B63" s="14" t="s">
        <v>163</v>
      </c>
      <c r="C63" s="465"/>
      <c r="D63" s="466"/>
      <c r="E63" s="467"/>
      <c r="F63" s="467"/>
      <c r="G63" s="467"/>
      <c r="H63" s="467"/>
      <c r="I63" s="467"/>
      <c r="J63" s="467"/>
      <c r="K63" s="467"/>
      <c r="L63" s="467"/>
      <c r="M63" s="467"/>
      <c r="N63" s="467"/>
      <c r="O63" s="467"/>
      <c r="P63" s="467"/>
      <c r="Q63" s="467"/>
      <c r="R63" s="467"/>
      <c r="S63" s="467"/>
      <c r="T63" s="467"/>
      <c r="U63" s="467"/>
      <c r="V63" s="467"/>
      <c r="W63" s="474"/>
      <c r="X63" s="467"/>
      <c r="Y63" s="467"/>
      <c r="Z63" s="467"/>
      <c r="AA63" s="479">
        <v>77764.9802666667</v>
      </c>
      <c r="AB63" s="479">
        <f t="shared" si="43"/>
        <v>-77764.9802666667</v>
      </c>
      <c r="AC63" s="479"/>
      <c r="AD63" s="479"/>
      <c r="AE63" s="479"/>
    </row>
    <row r="64" ht="18" spans="1:31">
      <c r="A64" s="464">
        <v>52</v>
      </c>
      <c r="B64" s="11" t="s">
        <v>165</v>
      </c>
      <c r="C64" s="467">
        <v>55503</v>
      </c>
      <c r="D64" s="466">
        <v>12</v>
      </c>
      <c r="E64" s="467">
        <f t="shared" ref="E64:E69" si="44">C64*D64</f>
        <v>666036</v>
      </c>
      <c r="F64" s="467"/>
      <c r="G64" s="468"/>
      <c r="H64" s="470"/>
      <c r="I64" s="467">
        <f t="shared" ref="I64:I69" si="45">E64-F64-G64-H64</f>
        <v>666036</v>
      </c>
      <c r="J64" s="467">
        <v>200000</v>
      </c>
      <c r="K64" s="467">
        <v>0.2</v>
      </c>
      <c r="L64" s="467">
        <f t="shared" ref="L64:L69" si="46">I64*K64</f>
        <v>133207.2</v>
      </c>
      <c r="M64" s="467">
        <f t="shared" ref="M64:M69" si="47">J64+L64</f>
        <v>333207.2</v>
      </c>
      <c r="N64" s="467">
        <f t="shared" ref="N64:N69" si="48">F64+G64+H64+M64</f>
        <v>333207.2</v>
      </c>
      <c r="O64" s="467">
        <f t="shared" ref="O64:O69" si="49">E64-N64</f>
        <v>332828.8</v>
      </c>
      <c r="P64" s="467">
        <f t="shared" ref="P64:P69" si="50">IF(O64&lt;300000,0.07*O64,21000)</f>
        <v>21000</v>
      </c>
      <c r="Q64" s="467">
        <f t="shared" ref="Q64:Q69" si="51">IF((O64-300000)&lt;0,0,IF((O64-300000)&lt;300000,0.11*(O64-300000),33000))</f>
        <v>3611.168</v>
      </c>
      <c r="R64" s="467">
        <f t="shared" ref="R64:R69" si="52">IF((O64-600000)&lt;0,0,IF((O64-600000)&lt;500000,0.15*(O64-600000),75000))</f>
        <v>0</v>
      </c>
      <c r="S64" s="467">
        <f t="shared" ref="S64:S69" si="53">IF((O64-1100000)&lt;0,0,IF((O64-1100000)&lt;500000,0.19*(O64-1100000),95000))</f>
        <v>0</v>
      </c>
      <c r="T64" s="467">
        <f t="shared" ref="T64:T69" si="54">IF((O64-1600000)&lt;0,0,IF((O64-1600000)&lt;1600000,0.21*(O64-1600000),336000))</f>
        <v>0</v>
      </c>
      <c r="U64" s="467"/>
      <c r="V64" s="467">
        <f t="shared" ref="V64:V69" si="55">P64+Q64+R64+S64+T64+U64</f>
        <v>24611.168</v>
      </c>
      <c r="W64" s="474">
        <v>12</v>
      </c>
      <c r="X64" s="467">
        <f t="shared" ref="X64:X69" si="56">V64/W64</f>
        <v>2050.93066666667</v>
      </c>
      <c r="Y64" s="470"/>
      <c r="Z64" s="467">
        <f t="shared" ref="Z64:Z69" si="57">X64</f>
        <v>2050.93066666667</v>
      </c>
      <c r="AA64" s="479">
        <v>54931.2492266667</v>
      </c>
      <c r="AB64" s="479">
        <f t="shared" si="43"/>
        <v>-52880.31856</v>
      </c>
      <c r="AC64" s="479"/>
      <c r="AD64" s="479"/>
      <c r="AE64" s="479"/>
    </row>
    <row r="65" ht="18" spans="1:31">
      <c r="A65" s="464">
        <v>53</v>
      </c>
      <c r="B65" s="11" t="s">
        <v>169</v>
      </c>
      <c r="C65" s="467">
        <v>48765.3333333358</v>
      </c>
      <c r="D65" s="466">
        <v>12</v>
      </c>
      <c r="E65" s="467">
        <f t="shared" si="44"/>
        <v>585184.00000003</v>
      </c>
      <c r="F65" s="467"/>
      <c r="G65" s="468"/>
      <c r="H65" s="470"/>
      <c r="I65" s="467">
        <f t="shared" si="45"/>
        <v>585184.00000003</v>
      </c>
      <c r="J65" s="467">
        <v>200000</v>
      </c>
      <c r="K65" s="467">
        <v>0.2</v>
      </c>
      <c r="L65" s="467">
        <f t="shared" si="46"/>
        <v>117036.800000006</v>
      </c>
      <c r="M65" s="467">
        <f t="shared" si="47"/>
        <v>317036.800000006</v>
      </c>
      <c r="N65" s="467">
        <f t="shared" si="48"/>
        <v>317036.800000006</v>
      </c>
      <c r="O65" s="467">
        <f t="shared" si="49"/>
        <v>268147.200000024</v>
      </c>
      <c r="P65" s="467">
        <f t="shared" si="50"/>
        <v>18770.3040000017</v>
      </c>
      <c r="Q65" s="467">
        <f t="shared" si="51"/>
        <v>0</v>
      </c>
      <c r="R65" s="467">
        <f t="shared" si="52"/>
        <v>0</v>
      </c>
      <c r="S65" s="467">
        <f t="shared" si="53"/>
        <v>0</v>
      </c>
      <c r="T65" s="467">
        <f t="shared" si="54"/>
        <v>0</v>
      </c>
      <c r="U65" s="467"/>
      <c r="V65" s="467">
        <f t="shared" si="55"/>
        <v>18770.3040000017</v>
      </c>
      <c r="W65" s="474">
        <v>12</v>
      </c>
      <c r="X65" s="467">
        <f t="shared" si="56"/>
        <v>1564.19200000014</v>
      </c>
      <c r="Y65" s="470"/>
      <c r="Z65" s="467">
        <f t="shared" si="57"/>
        <v>1564.19200000014</v>
      </c>
      <c r="AA65" s="479">
        <v>49548.7761866667</v>
      </c>
      <c r="AB65" s="479">
        <f t="shared" si="43"/>
        <v>-47984.5841866666</v>
      </c>
      <c r="AC65" s="479"/>
      <c r="AD65" s="479"/>
      <c r="AE65" s="479"/>
    </row>
    <row r="66" ht="18" spans="1:31">
      <c r="A66" s="464">
        <v>54</v>
      </c>
      <c r="B66" s="11" t="s">
        <v>171</v>
      </c>
      <c r="C66" s="467">
        <v>48765.3333333358</v>
      </c>
      <c r="D66" s="466">
        <v>12</v>
      </c>
      <c r="E66" s="467">
        <f t="shared" si="44"/>
        <v>585184.00000003</v>
      </c>
      <c r="F66" s="467"/>
      <c r="G66" s="468"/>
      <c r="H66" s="470"/>
      <c r="I66" s="467">
        <f t="shared" si="45"/>
        <v>585184.00000003</v>
      </c>
      <c r="J66" s="467">
        <v>200000</v>
      </c>
      <c r="K66" s="467">
        <v>0.2</v>
      </c>
      <c r="L66" s="467">
        <f t="shared" si="46"/>
        <v>117036.800000006</v>
      </c>
      <c r="M66" s="467">
        <f t="shared" si="47"/>
        <v>317036.800000006</v>
      </c>
      <c r="N66" s="467">
        <f t="shared" si="48"/>
        <v>317036.800000006</v>
      </c>
      <c r="O66" s="467">
        <f t="shared" si="49"/>
        <v>268147.200000024</v>
      </c>
      <c r="P66" s="467">
        <f t="shared" si="50"/>
        <v>18770.3040000017</v>
      </c>
      <c r="Q66" s="467">
        <f t="shared" si="51"/>
        <v>0</v>
      </c>
      <c r="R66" s="467">
        <f t="shared" si="52"/>
        <v>0</v>
      </c>
      <c r="S66" s="467">
        <f t="shared" si="53"/>
        <v>0</v>
      </c>
      <c r="T66" s="467">
        <f t="shared" si="54"/>
        <v>0</v>
      </c>
      <c r="U66" s="467"/>
      <c r="V66" s="467">
        <f t="shared" si="55"/>
        <v>18770.3040000017</v>
      </c>
      <c r="W66" s="474">
        <v>12</v>
      </c>
      <c r="X66" s="467">
        <f t="shared" si="56"/>
        <v>1564.19200000014</v>
      </c>
      <c r="Y66" s="470"/>
      <c r="Z66" s="467">
        <f t="shared" si="57"/>
        <v>1564.19200000014</v>
      </c>
      <c r="AA66" s="479">
        <v>46666.6666666667</v>
      </c>
      <c r="AB66" s="479">
        <f t="shared" si="43"/>
        <v>-45102.4746666666</v>
      </c>
      <c r="AC66" s="479"/>
      <c r="AD66" s="479"/>
      <c r="AE66" s="479"/>
    </row>
    <row r="67" ht="18" spans="1:31">
      <c r="A67" s="464">
        <v>55</v>
      </c>
      <c r="B67" s="11" t="s">
        <v>172</v>
      </c>
      <c r="C67" s="467">
        <v>48765.3333333358</v>
      </c>
      <c r="D67" s="466">
        <v>12</v>
      </c>
      <c r="E67" s="467">
        <f t="shared" si="44"/>
        <v>585184.00000003</v>
      </c>
      <c r="F67" s="467"/>
      <c r="G67" s="468"/>
      <c r="H67" s="470"/>
      <c r="I67" s="467">
        <f t="shared" si="45"/>
        <v>585184.00000003</v>
      </c>
      <c r="J67" s="467">
        <v>200000</v>
      </c>
      <c r="K67" s="467">
        <v>0.2</v>
      </c>
      <c r="L67" s="467">
        <f t="shared" si="46"/>
        <v>117036.800000006</v>
      </c>
      <c r="M67" s="467">
        <f t="shared" si="47"/>
        <v>317036.800000006</v>
      </c>
      <c r="N67" s="467">
        <f t="shared" si="48"/>
        <v>317036.800000006</v>
      </c>
      <c r="O67" s="467">
        <f t="shared" si="49"/>
        <v>268147.200000024</v>
      </c>
      <c r="P67" s="467">
        <f t="shared" si="50"/>
        <v>18770.3040000017</v>
      </c>
      <c r="Q67" s="467">
        <f t="shared" si="51"/>
        <v>0</v>
      </c>
      <c r="R67" s="467">
        <f t="shared" si="52"/>
        <v>0</v>
      </c>
      <c r="S67" s="467">
        <f t="shared" si="53"/>
        <v>0</v>
      </c>
      <c r="T67" s="467">
        <f t="shared" si="54"/>
        <v>0</v>
      </c>
      <c r="U67" s="467"/>
      <c r="V67" s="467">
        <f t="shared" si="55"/>
        <v>18770.3040000017</v>
      </c>
      <c r="W67" s="474">
        <v>12</v>
      </c>
      <c r="X67" s="467">
        <f t="shared" si="56"/>
        <v>1564.19200000014</v>
      </c>
      <c r="Y67" s="470"/>
      <c r="Z67" s="467">
        <f t="shared" si="57"/>
        <v>1564.19200000014</v>
      </c>
      <c r="AA67" s="479">
        <v>41338.9510986667</v>
      </c>
      <c r="AB67" s="479">
        <f t="shared" si="43"/>
        <v>-39774.7590986666</v>
      </c>
      <c r="AC67" s="479"/>
      <c r="AD67" s="479"/>
      <c r="AE67" s="479"/>
    </row>
    <row r="68" ht="18" spans="1:31">
      <c r="A68" s="464">
        <v>56</v>
      </c>
      <c r="B68" s="11" t="s">
        <v>173</v>
      </c>
      <c r="C68" s="467">
        <v>48765.3333333321</v>
      </c>
      <c r="D68" s="466">
        <v>12</v>
      </c>
      <c r="E68" s="467">
        <f t="shared" si="44"/>
        <v>585183.999999985</v>
      </c>
      <c r="F68" s="467"/>
      <c r="G68" s="468"/>
      <c r="H68" s="470"/>
      <c r="I68" s="467">
        <f t="shared" si="45"/>
        <v>585183.999999985</v>
      </c>
      <c r="J68" s="467">
        <v>200000</v>
      </c>
      <c r="K68" s="467">
        <v>0.2</v>
      </c>
      <c r="L68" s="467">
        <f t="shared" si="46"/>
        <v>117036.799999997</v>
      </c>
      <c r="M68" s="467">
        <f t="shared" si="47"/>
        <v>317036.799999997</v>
      </c>
      <c r="N68" s="467">
        <f t="shared" si="48"/>
        <v>317036.799999997</v>
      </c>
      <c r="O68" s="467">
        <f t="shared" si="49"/>
        <v>268147.199999988</v>
      </c>
      <c r="P68" s="467">
        <f t="shared" si="50"/>
        <v>18770.3039999992</v>
      </c>
      <c r="Q68" s="467">
        <f t="shared" si="51"/>
        <v>0</v>
      </c>
      <c r="R68" s="467">
        <f t="shared" si="52"/>
        <v>0</v>
      </c>
      <c r="S68" s="467">
        <f t="shared" si="53"/>
        <v>0</v>
      </c>
      <c r="T68" s="467">
        <f t="shared" si="54"/>
        <v>0</v>
      </c>
      <c r="U68" s="467"/>
      <c r="V68" s="467">
        <f t="shared" si="55"/>
        <v>18770.3039999992</v>
      </c>
      <c r="W68" s="474">
        <v>12</v>
      </c>
      <c r="X68" s="467">
        <f t="shared" si="56"/>
        <v>1564.19199999993</v>
      </c>
      <c r="Y68" s="470"/>
      <c r="Z68" s="467">
        <f t="shared" si="57"/>
        <v>1564.19199999993</v>
      </c>
      <c r="AA68" s="479">
        <v>41338.9510986667</v>
      </c>
      <c r="AB68" s="479">
        <f t="shared" si="43"/>
        <v>-39774.7590986668</v>
      </c>
      <c r="AC68" s="479"/>
      <c r="AD68" s="479"/>
      <c r="AE68" s="479"/>
    </row>
    <row r="69" ht="18" spans="1:31">
      <c r="A69" s="464">
        <v>57</v>
      </c>
      <c r="B69" s="11" t="s">
        <v>177</v>
      </c>
      <c r="C69" s="467">
        <v>31743.6666666679</v>
      </c>
      <c r="D69" s="466">
        <v>12</v>
      </c>
      <c r="E69" s="467">
        <f t="shared" si="44"/>
        <v>380924.000000015</v>
      </c>
      <c r="F69" s="467"/>
      <c r="G69" s="468"/>
      <c r="H69" s="470"/>
      <c r="I69" s="467">
        <f t="shared" si="45"/>
        <v>380924.000000015</v>
      </c>
      <c r="J69" s="467">
        <v>200000</v>
      </c>
      <c r="K69" s="467">
        <v>0.2</v>
      </c>
      <c r="L69" s="467">
        <f t="shared" si="46"/>
        <v>76184.800000003</v>
      </c>
      <c r="M69" s="467">
        <f t="shared" si="47"/>
        <v>276184.800000003</v>
      </c>
      <c r="N69" s="467">
        <f t="shared" si="48"/>
        <v>276184.800000003</v>
      </c>
      <c r="O69" s="467">
        <f t="shared" si="49"/>
        <v>104739.200000012</v>
      </c>
      <c r="P69" s="467">
        <f t="shared" si="50"/>
        <v>7331.74400000084</v>
      </c>
      <c r="Q69" s="467">
        <f t="shared" si="51"/>
        <v>0</v>
      </c>
      <c r="R69" s="467">
        <f t="shared" si="52"/>
        <v>0</v>
      </c>
      <c r="S69" s="467">
        <f t="shared" si="53"/>
        <v>0</v>
      </c>
      <c r="T69" s="467">
        <f t="shared" si="54"/>
        <v>0</v>
      </c>
      <c r="U69" s="467"/>
      <c r="V69" s="467">
        <f t="shared" si="55"/>
        <v>7331.74400000084</v>
      </c>
      <c r="W69" s="474">
        <v>12</v>
      </c>
      <c r="X69" s="467">
        <f t="shared" si="56"/>
        <v>610.978666666736</v>
      </c>
      <c r="Y69" s="470"/>
      <c r="Z69" s="467">
        <f t="shared" si="57"/>
        <v>610.978666666736</v>
      </c>
      <c r="AA69" s="479">
        <v>41338.9510986667</v>
      </c>
      <c r="AB69" s="479">
        <f t="shared" si="43"/>
        <v>-40727.972432</v>
      </c>
      <c r="AC69" s="479"/>
      <c r="AD69" s="479"/>
      <c r="AE69" s="479"/>
    </row>
    <row r="70" ht="17.5" spans="1:31">
      <c r="A70" s="464">
        <v>58</v>
      </c>
      <c r="B70" s="20" t="s">
        <v>120</v>
      </c>
      <c r="C70" s="465"/>
      <c r="D70" s="466"/>
      <c r="E70" s="467"/>
      <c r="F70" s="467"/>
      <c r="G70" s="467"/>
      <c r="H70" s="467"/>
      <c r="I70" s="467"/>
      <c r="J70" s="467"/>
      <c r="K70" s="467"/>
      <c r="L70" s="467"/>
      <c r="M70" s="467"/>
      <c r="N70" s="467"/>
      <c r="O70" s="467"/>
      <c r="P70" s="467"/>
      <c r="Q70" s="467"/>
      <c r="R70" s="467"/>
      <c r="S70" s="467"/>
      <c r="T70" s="467"/>
      <c r="U70" s="467"/>
      <c r="V70" s="467"/>
      <c r="W70" s="474"/>
      <c r="X70" s="467"/>
      <c r="Y70" s="467"/>
      <c r="Z70" s="467"/>
      <c r="AA70" s="479">
        <v>43368.8824146667</v>
      </c>
      <c r="AB70" s="479">
        <f t="shared" si="43"/>
        <v>-43368.8824146667</v>
      </c>
      <c r="AC70" s="479"/>
      <c r="AD70" s="479"/>
      <c r="AE70" s="479"/>
    </row>
    <row r="71" ht="17.5" spans="1:31">
      <c r="A71" s="464">
        <v>59</v>
      </c>
      <c r="B71" s="22"/>
      <c r="C71" s="465"/>
      <c r="D71" s="466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7"/>
      <c r="Q71" s="467"/>
      <c r="R71" s="467"/>
      <c r="S71" s="467"/>
      <c r="T71" s="467"/>
      <c r="U71" s="467"/>
      <c r="V71" s="467"/>
      <c r="W71" s="474"/>
      <c r="X71" s="467"/>
      <c r="Y71" s="467"/>
      <c r="Z71" s="467"/>
      <c r="AA71" s="479">
        <v>33825.9865626667</v>
      </c>
      <c r="AB71" s="479">
        <f t="shared" si="43"/>
        <v>-33825.9865626667</v>
      </c>
      <c r="AC71" s="479"/>
      <c r="AD71" s="479"/>
      <c r="AE71" s="479"/>
    </row>
    <row r="72" ht="17.5" spans="1:31">
      <c r="A72" s="464">
        <v>60</v>
      </c>
      <c r="B72" s="20" t="s">
        <v>180</v>
      </c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8" spans="1:31">
      <c r="A73" s="464">
        <v>61</v>
      </c>
      <c r="B73" s="11" t="s">
        <v>181</v>
      </c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8" spans="1:31">
      <c r="A74" s="464"/>
      <c r="B74" s="11" t="s">
        <v>185</v>
      </c>
      <c r="C74" s="467">
        <v>77115</v>
      </c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187</v>
      </c>
      <c r="C75" s="467">
        <v>55503</v>
      </c>
      <c r="D75" s="466">
        <v>12</v>
      </c>
      <c r="E75" s="467">
        <f t="shared" ref="E75:E81" si="58">C75*D75</f>
        <v>666036</v>
      </c>
      <c r="F75" s="467"/>
      <c r="G75" s="468"/>
      <c r="H75" s="470"/>
      <c r="I75" s="467">
        <f t="shared" ref="I75:I81" si="59">E75-F75-G75-H75</f>
        <v>666036</v>
      </c>
      <c r="J75" s="467">
        <v>200000</v>
      </c>
      <c r="K75" s="467">
        <v>0.2</v>
      </c>
      <c r="L75" s="467">
        <f t="shared" ref="L75:L81" si="60">I75*K75</f>
        <v>133207.2</v>
      </c>
      <c r="M75" s="467">
        <f t="shared" ref="M75:M81" si="61">J75+L75</f>
        <v>333207.2</v>
      </c>
      <c r="N75" s="467">
        <f t="shared" ref="N75:N81" si="62">F75+G75+H75+M75</f>
        <v>333207.2</v>
      </c>
      <c r="O75" s="467">
        <f t="shared" ref="O75:O81" si="63">E75-N75</f>
        <v>332828.8</v>
      </c>
      <c r="P75" s="467">
        <f t="shared" ref="P75:P81" si="64">IF(O75&lt;300000,0.07*O75,21000)</f>
        <v>21000</v>
      </c>
      <c r="Q75" s="467">
        <f t="shared" ref="Q75:Q81" si="65">IF((O75-300000)&lt;0,0,IF((O75-300000)&lt;300000,0.11*(O75-300000),33000))</f>
        <v>3611.168</v>
      </c>
      <c r="R75" s="467">
        <f t="shared" ref="R75:R81" si="66">IF((O75-600000)&lt;0,0,IF((O75-600000)&lt;500000,0.15*(O75-600000),75000))</f>
        <v>0</v>
      </c>
      <c r="S75" s="467">
        <f t="shared" ref="S75:S81" si="67">IF((O75-1100000)&lt;0,0,IF((O75-1100000)&lt;500000,0.19*(O75-1100000),95000))</f>
        <v>0</v>
      </c>
      <c r="T75" s="467">
        <f t="shared" ref="T75:T81" si="68">IF((O75-1600000)&lt;0,0,IF((O75-1600000)&lt;1600000,0.21*(O75-1600000),336000))</f>
        <v>0</v>
      </c>
      <c r="U75" s="467"/>
      <c r="V75" s="467">
        <f t="shared" ref="V75:V81" si="69">P75+Q75+R75+S75+T75+U75</f>
        <v>24611.168</v>
      </c>
      <c r="W75" s="474">
        <v>12</v>
      </c>
      <c r="X75" s="467">
        <f t="shared" ref="X75:X81" si="70">V75/W75</f>
        <v>2050.93066666667</v>
      </c>
      <c r="Y75" s="470"/>
      <c r="Z75" s="467">
        <f t="shared" ref="Z75:Z81" si="71">X75</f>
        <v>2050.93066666667</v>
      </c>
      <c r="AA75" s="479">
        <v>180306.806858667</v>
      </c>
      <c r="AB75" s="479">
        <f t="shared" ref="AB75:AB81" si="72">Z75-AA75</f>
        <v>-178255.876192</v>
      </c>
      <c r="AC75" s="479"/>
      <c r="AD75" s="479"/>
      <c r="AE75" s="479"/>
    </row>
    <row r="76" ht="18" spans="1:31">
      <c r="A76" s="464">
        <v>62</v>
      </c>
      <c r="B76" s="11" t="s">
        <v>194</v>
      </c>
      <c r="C76" s="467">
        <v>0</v>
      </c>
      <c r="D76" s="466">
        <v>12</v>
      </c>
      <c r="E76" s="467">
        <f t="shared" si="58"/>
        <v>0</v>
      </c>
      <c r="F76" s="467"/>
      <c r="G76" s="468"/>
      <c r="H76" s="470"/>
      <c r="I76" s="467">
        <f t="shared" si="59"/>
        <v>0</v>
      </c>
      <c r="J76" s="467">
        <v>200000</v>
      </c>
      <c r="K76" s="467">
        <v>0.2</v>
      </c>
      <c r="L76" s="467">
        <f t="shared" si="60"/>
        <v>0</v>
      </c>
      <c r="M76" s="467">
        <f t="shared" si="61"/>
        <v>200000</v>
      </c>
      <c r="N76" s="467">
        <f t="shared" si="62"/>
        <v>200000</v>
      </c>
      <c r="O76" s="467">
        <f t="shared" si="63"/>
        <v>-200000</v>
      </c>
      <c r="P76" s="467">
        <f t="shared" si="64"/>
        <v>-14000</v>
      </c>
      <c r="Q76" s="467">
        <f t="shared" si="65"/>
        <v>0</v>
      </c>
      <c r="R76" s="467">
        <f t="shared" si="66"/>
        <v>0</v>
      </c>
      <c r="S76" s="467">
        <f t="shared" si="67"/>
        <v>0</v>
      </c>
      <c r="T76" s="467">
        <f t="shared" si="68"/>
        <v>0</v>
      </c>
      <c r="U76" s="467"/>
      <c r="V76" s="467">
        <f t="shared" si="69"/>
        <v>-14000</v>
      </c>
      <c r="W76" s="474">
        <v>12</v>
      </c>
      <c r="X76" s="467">
        <f t="shared" si="70"/>
        <v>-1166.66666666667</v>
      </c>
      <c r="Y76" s="470"/>
      <c r="Z76" s="467">
        <f t="shared" si="71"/>
        <v>-1166.66666666667</v>
      </c>
      <c r="AA76" s="479">
        <v>77764.9802666667</v>
      </c>
      <c r="AB76" s="479">
        <f t="shared" si="72"/>
        <v>-78931.6469333334</v>
      </c>
      <c r="AC76" s="479"/>
      <c r="AD76" s="479"/>
      <c r="AE76" s="479"/>
    </row>
    <row r="77" ht="18" spans="1:31">
      <c r="A77" s="464">
        <v>63</v>
      </c>
      <c r="B77" s="11" t="s">
        <v>198</v>
      </c>
      <c r="C77" s="467">
        <v>0</v>
      </c>
      <c r="D77" s="466">
        <v>12</v>
      </c>
      <c r="E77" s="467">
        <f t="shared" si="58"/>
        <v>0</v>
      </c>
      <c r="F77" s="467"/>
      <c r="G77" s="468"/>
      <c r="H77" s="470"/>
      <c r="I77" s="467">
        <f t="shared" si="59"/>
        <v>0</v>
      </c>
      <c r="J77" s="467">
        <v>200000</v>
      </c>
      <c r="K77" s="467">
        <v>0.2</v>
      </c>
      <c r="L77" s="467">
        <f t="shared" si="60"/>
        <v>0</v>
      </c>
      <c r="M77" s="467">
        <f t="shared" si="61"/>
        <v>200000</v>
      </c>
      <c r="N77" s="467">
        <f t="shared" si="62"/>
        <v>200000</v>
      </c>
      <c r="O77" s="467">
        <f t="shared" si="63"/>
        <v>-200000</v>
      </c>
      <c r="P77" s="467">
        <f t="shared" si="64"/>
        <v>-14000</v>
      </c>
      <c r="Q77" s="467">
        <f t="shared" si="65"/>
        <v>0</v>
      </c>
      <c r="R77" s="467">
        <f t="shared" si="66"/>
        <v>0</v>
      </c>
      <c r="S77" s="467">
        <f t="shared" si="67"/>
        <v>0</v>
      </c>
      <c r="T77" s="467">
        <f t="shared" si="68"/>
        <v>0</v>
      </c>
      <c r="U77" s="467"/>
      <c r="V77" s="467">
        <f t="shared" si="69"/>
        <v>-14000</v>
      </c>
      <c r="W77" s="474">
        <v>12</v>
      </c>
      <c r="X77" s="467">
        <f t="shared" si="70"/>
        <v>-1166.66666666667</v>
      </c>
      <c r="Y77" s="470"/>
      <c r="Z77" s="467">
        <f t="shared" si="71"/>
        <v>-1166.66666666667</v>
      </c>
      <c r="AA77" s="479">
        <v>64596.9391466667</v>
      </c>
      <c r="AB77" s="479">
        <f t="shared" si="72"/>
        <v>-65763.6058133334</v>
      </c>
      <c r="AC77" s="479"/>
      <c r="AD77" s="479"/>
      <c r="AE77" s="479"/>
    </row>
    <row r="78" ht="18" spans="1:31">
      <c r="A78" s="464">
        <v>64</v>
      </c>
      <c r="B78" s="11" t="s">
        <v>200</v>
      </c>
      <c r="C78" s="467">
        <v>24688.666666668</v>
      </c>
      <c r="D78" s="466">
        <v>12</v>
      </c>
      <c r="E78" s="467">
        <f t="shared" si="58"/>
        <v>296264.000000016</v>
      </c>
      <c r="F78" s="467"/>
      <c r="G78" s="468"/>
      <c r="H78" s="470"/>
      <c r="I78" s="467">
        <f t="shared" si="59"/>
        <v>296264.000000016</v>
      </c>
      <c r="J78" s="467">
        <v>200000</v>
      </c>
      <c r="K78" s="467">
        <v>0.2</v>
      </c>
      <c r="L78" s="467">
        <f t="shared" si="60"/>
        <v>59252.8000000033</v>
      </c>
      <c r="M78" s="467">
        <f t="shared" si="61"/>
        <v>259252.800000003</v>
      </c>
      <c r="N78" s="467">
        <f t="shared" si="62"/>
        <v>259252.800000003</v>
      </c>
      <c r="O78" s="467">
        <f t="shared" si="63"/>
        <v>37011.2000000131</v>
      </c>
      <c r="P78" s="467">
        <f t="shared" si="64"/>
        <v>2590.78400000091</v>
      </c>
      <c r="Q78" s="467">
        <f t="shared" si="65"/>
        <v>0</v>
      </c>
      <c r="R78" s="467">
        <f t="shared" si="66"/>
        <v>0</v>
      </c>
      <c r="S78" s="467">
        <f t="shared" si="67"/>
        <v>0</v>
      </c>
      <c r="T78" s="467">
        <f t="shared" si="68"/>
        <v>0</v>
      </c>
      <c r="U78" s="467"/>
      <c r="V78" s="467">
        <f t="shared" si="69"/>
        <v>2590.78400000091</v>
      </c>
      <c r="W78" s="474">
        <v>12</v>
      </c>
      <c r="X78" s="467">
        <f t="shared" si="70"/>
        <v>215.898666666743</v>
      </c>
      <c r="Y78" s="470"/>
      <c r="Z78" s="467">
        <f t="shared" si="71"/>
        <v>215.898666666743</v>
      </c>
      <c r="AA78" s="479">
        <v>56350.5861866667</v>
      </c>
      <c r="AB78" s="479">
        <f t="shared" si="72"/>
        <v>-56134.68752</v>
      </c>
      <c r="AC78" s="479"/>
      <c r="AD78" s="479"/>
      <c r="AE78" s="479"/>
    </row>
    <row r="79" ht="17.5" spans="1:31">
      <c r="A79" s="464">
        <v>65</v>
      </c>
      <c r="B79" s="20" t="s">
        <v>120</v>
      </c>
      <c r="C79" s="465"/>
      <c r="D79" s="466"/>
      <c r="E79" s="467"/>
      <c r="F79" s="467"/>
      <c r="G79" s="467"/>
      <c r="H79" s="467"/>
      <c r="I79" s="467"/>
      <c r="J79" s="467"/>
      <c r="K79" s="467"/>
      <c r="L79" s="467"/>
      <c r="M79" s="467"/>
      <c r="N79" s="467"/>
      <c r="O79" s="467"/>
      <c r="P79" s="467"/>
      <c r="Q79" s="467"/>
      <c r="R79" s="467"/>
      <c r="S79" s="467"/>
      <c r="T79" s="467"/>
      <c r="U79" s="467"/>
      <c r="V79" s="467"/>
      <c r="W79" s="474"/>
      <c r="X79" s="467"/>
      <c r="Y79" s="467"/>
      <c r="Z79" s="467"/>
      <c r="AA79" s="479">
        <v>17507.5489666667</v>
      </c>
      <c r="AB79" s="479">
        <f t="shared" si="72"/>
        <v>-17507.5489666667</v>
      </c>
      <c r="AC79" s="479"/>
      <c r="AD79" s="479"/>
      <c r="AE79" s="479"/>
    </row>
    <row r="80" ht="24.75" customHeight="1" spans="1:31">
      <c r="A80" s="464"/>
      <c r="B80" s="20"/>
      <c r="C80" s="465"/>
      <c r="D80" s="466"/>
      <c r="E80" s="467"/>
      <c r="F80" s="467"/>
      <c r="G80" s="467"/>
      <c r="H80" s="467"/>
      <c r="I80" s="467"/>
      <c r="J80" s="467"/>
      <c r="K80" s="467"/>
      <c r="L80" s="467"/>
      <c r="M80" s="467"/>
      <c r="N80" s="467"/>
      <c r="O80" s="467"/>
      <c r="P80" s="467"/>
      <c r="Q80" s="467"/>
      <c r="R80" s="467"/>
      <c r="S80" s="467"/>
      <c r="T80" s="467"/>
      <c r="U80" s="467"/>
      <c r="V80" s="467"/>
      <c r="W80" s="474"/>
      <c r="X80" s="467"/>
      <c r="Y80" s="467"/>
      <c r="Z80" s="467"/>
      <c r="AA80" s="479">
        <v>29058.4826046667</v>
      </c>
      <c r="AB80" s="479">
        <f t="shared" si="72"/>
        <v>-29058.4826046667</v>
      </c>
      <c r="AC80" s="479"/>
      <c r="AD80" s="479"/>
      <c r="AE80" s="479"/>
    </row>
    <row r="81" ht="35" spans="1:31">
      <c r="A81" s="464"/>
      <c r="B81" s="20" t="s">
        <v>202</v>
      </c>
      <c r="C81" s="465"/>
      <c r="D81" s="466"/>
      <c r="E81" s="467"/>
      <c r="F81" s="467"/>
      <c r="G81" s="467"/>
      <c r="H81" s="467"/>
      <c r="I81" s="467"/>
      <c r="J81" s="467"/>
      <c r="K81" s="467"/>
      <c r="L81" s="467"/>
      <c r="M81" s="467"/>
      <c r="N81" s="467"/>
      <c r="O81" s="467"/>
      <c r="P81" s="467"/>
      <c r="Q81" s="467"/>
      <c r="R81" s="467"/>
      <c r="S81" s="467"/>
      <c r="T81" s="467"/>
      <c r="U81" s="467"/>
      <c r="V81" s="467"/>
      <c r="W81" s="474"/>
      <c r="X81" s="467"/>
      <c r="Y81" s="467"/>
      <c r="Z81" s="467"/>
      <c r="AA81" s="479">
        <v>24751.1704626667</v>
      </c>
      <c r="AB81" s="479">
        <f t="shared" si="72"/>
        <v>-24751.1704626667</v>
      </c>
      <c r="AC81" s="479"/>
      <c r="AD81" s="479"/>
      <c r="AE81" s="479"/>
    </row>
    <row r="82" ht="18" spans="1:31">
      <c r="A82" s="464"/>
      <c r="B82" s="11" t="s">
        <v>203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8" spans="1:31">
      <c r="A83" s="464">
        <v>66</v>
      </c>
      <c r="B83" s="11" t="s">
        <v>205</v>
      </c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6" spans="1:31">
      <c r="A84" s="464">
        <v>67</v>
      </c>
      <c r="B84" s="11" t="s">
        <v>208</v>
      </c>
      <c r="C84" s="467">
        <v>77115</v>
      </c>
      <c r="D84" s="466">
        <v>12</v>
      </c>
      <c r="E84" s="467">
        <f>C84*D84</f>
        <v>925380</v>
      </c>
      <c r="F84" s="467"/>
      <c r="G84" s="468"/>
      <c r="H84" s="470"/>
      <c r="I84" s="467">
        <f>E84-F84-G84-H84</f>
        <v>925380</v>
      </c>
      <c r="J84" s="467">
        <v>200000</v>
      </c>
      <c r="K84" s="467">
        <v>0.2</v>
      </c>
      <c r="L84" s="467">
        <f>I84*K84</f>
        <v>185076</v>
      </c>
      <c r="M84" s="467">
        <f>J84+L84</f>
        <v>385076</v>
      </c>
      <c r="N84" s="467">
        <f>F84+G84+H84+M84</f>
        <v>385076</v>
      </c>
      <c r="O84" s="467">
        <f>E84-N84</f>
        <v>540304</v>
      </c>
      <c r="P84" s="467">
        <f>IF(O84&lt;300000,0.07*O84,21000)</f>
        <v>21000</v>
      </c>
      <c r="Q84" s="467">
        <f>IF((O84-300000)&lt;0,0,IF((O84-300000)&lt;300000,0.11*(O84-300000),33000))</f>
        <v>26433.44</v>
      </c>
      <c r="R84" s="467">
        <f>IF((O84-600000)&lt;0,0,IF((O84-600000)&lt;500000,0.15*(O84-600000),75000))</f>
        <v>0</v>
      </c>
      <c r="S84" s="467">
        <f>IF((O84-1100000)&lt;0,0,IF((O84-1100000)&lt;500000,0.19*(O84-1100000),95000))</f>
        <v>0</v>
      </c>
      <c r="T84" s="467">
        <f>IF((O84-1600000)&lt;0,0,IF((O84-1600000)&lt;1600000,0.21*(O84-1600000),336000))</f>
        <v>0</v>
      </c>
      <c r="U84" s="467"/>
      <c r="V84" s="467">
        <f>P84+Q84+R84+S84+T84+U84</f>
        <v>47433.44</v>
      </c>
      <c r="W84" s="474">
        <v>12</v>
      </c>
      <c r="X84" s="467">
        <f>V84/W84</f>
        <v>3952.78666666667</v>
      </c>
      <c r="Y84" s="470"/>
      <c r="Z84" s="467">
        <f>X84</f>
        <v>3952.78666666667</v>
      </c>
      <c r="AA84" s="467">
        <v>98996.1031466667</v>
      </c>
      <c r="AB84" s="296" t="s">
        <v>937</v>
      </c>
      <c r="AC84" s="479"/>
      <c r="AD84" s="479"/>
      <c r="AE84" s="479"/>
    </row>
    <row r="85" ht="18" spans="1:31">
      <c r="A85" s="464">
        <v>68</v>
      </c>
      <c r="B85" s="11" t="s">
        <v>209</v>
      </c>
      <c r="C85" s="467"/>
      <c r="D85" s="466"/>
      <c r="E85" s="467"/>
      <c r="F85" s="467"/>
      <c r="G85" s="470"/>
      <c r="H85" s="470"/>
      <c r="I85" s="467"/>
      <c r="J85" s="467"/>
      <c r="K85" s="467"/>
      <c r="L85" s="467"/>
      <c r="M85" s="467"/>
      <c r="N85" s="467"/>
      <c r="O85" s="467"/>
      <c r="P85" s="467"/>
      <c r="Q85" s="467"/>
      <c r="R85" s="467"/>
      <c r="S85" s="467"/>
      <c r="T85" s="467"/>
      <c r="U85" s="467"/>
      <c r="V85" s="467"/>
      <c r="W85" s="474"/>
      <c r="X85" s="467"/>
      <c r="Y85" s="470"/>
      <c r="Z85" s="467"/>
      <c r="AA85" s="479"/>
      <c r="AB85" s="479"/>
      <c r="AC85" s="479" t="s">
        <v>205</v>
      </c>
      <c r="AD85" s="479"/>
      <c r="AE85" s="479"/>
    </row>
    <row r="86" ht="18" spans="1:31">
      <c r="A86" s="464">
        <v>69</v>
      </c>
      <c r="B86" s="11" t="s">
        <v>210</v>
      </c>
      <c r="C86" s="467">
        <v>55503</v>
      </c>
      <c r="D86" s="466">
        <v>12</v>
      </c>
      <c r="E86" s="467">
        <f t="shared" ref="E85:E94" si="73">C86*D86</f>
        <v>666036</v>
      </c>
      <c r="F86" s="467"/>
      <c r="G86" s="468"/>
      <c r="H86" s="470"/>
      <c r="I86" s="467">
        <f t="shared" ref="I85:I94" si="74">E86-F86-G86-H86</f>
        <v>666036</v>
      </c>
      <c r="J86" s="467">
        <v>200000</v>
      </c>
      <c r="K86" s="467">
        <v>0.2</v>
      </c>
      <c r="L86" s="467">
        <f t="shared" ref="L85:L94" si="75">I86*K86</f>
        <v>133207.2</v>
      </c>
      <c r="M86" s="467">
        <f t="shared" ref="M85:M94" si="76">J86+L86</f>
        <v>333207.2</v>
      </c>
      <c r="N86" s="467">
        <f t="shared" ref="N85:N94" si="77">F86+G86+H86+M86</f>
        <v>333207.2</v>
      </c>
      <c r="O86" s="467">
        <f t="shared" ref="O85:O94" si="78">E86-N86</f>
        <v>332828.8</v>
      </c>
      <c r="P86" s="467">
        <f t="shared" ref="P85:P94" si="79">IF(O86&lt;300000,0.07*O86,21000)</f>
        <v>21000</v>
      </c>
      <c r="Q86" s="467">
        <f t="shared" ref="Q85:Q94" si="80">IF((O86-300000)&lt;0,0,IF((O86-300000)&lt;300000,0.11*(O86-300000),33000))</f>
        <v>3611.168</v>
      </c>
      <c r="R86" s="467">
        <f t="shared" ref="R85:R94" si="81">IF((O86-600000)&lt;0,0,IF((O86-600000)&lt;500000,0.15*(O86-600000),75000))</f>
        <v>0</v>
      </c>
      <c r="S86" s="467">
        <f t="shared" ref="S85:S94" si="82">IF((O86-1100000)&lt;0,0,IF((O86-1100000)&lt;500000,0.19*(O86-1100000),95000))</f>
        <v>0</v>
      </c>
      <c r="T86" s="467">
        <f t="shared" ref="T85:T94" si="83">IF((O86-1600000)&lt;0,0,IF((O86-1600000)&lt;1600000,0.21*(O86-1600000),336000))</f>
        <v>0</v>
      </c>
      <c r="U86" s="467"/>
      <c r="V86" s="467">
        <f t="shared" ref="V85:V94" si="84">P86+Q86+R86+S86+T86+U86</f>
        <v>24611.168</v>
      </c>
      <c r="W86" s="474">
        <v>12</v>
      </c>
      <c r="X86" s="467">
        <f t="shared" ref="X85:X94" si="85">V86/W86</f>
        <v>2050.93066666667</v>
      </c>
      <c r="Y86" s="470"/>
      <c r="Z86" s="467">
        <f t="shared" ref="Z85:Z94" si="86">X86</f>
        <v>2050.93066666667</v>
      </c>
      <c r="AA86" s="467">
        <v>98996.1031466667</v>
      </c>
      <c r="AB86" s="479">
        <f t="shared" ref="AB85:AB94" si="87">Z86-AA86</f>
        <v>-96945.17248</v>
      </c>
      <c r="AC86" s="479" t="s">
        <v>203</v>
      </c>
      <c r="AD86" s="479"/>
      <c r="AE86" s="479"/>
    </row>
    <row r="87" ht="36" spans="1:31">
      <c r="A87" s="464">
        <v>70</v>
      </c>
      <c r="B87" s="11" t="s">
        <v>211</v>
      </c>
      <c r="C87" s="467">
        <v>55503</v>
      </c>
      <c r="D87" s="466">
        <v>12</v>
      </c>
      <c r="E87" s="467">
        <f t="shared" si="73"/>
        <v>666036</v>
      </c>
      <c r="F87" s="467"/>
      <c r="G87" s="468"/>
      <c r="H87" s="470"/>
      <c r="I87" s="467">
        <f t="shared" si="74"/>
        <v>666036</v>
      </c>
      <c r="J87" s="467">
        <v>200000</v>
      </c>
      <c r="K87" s="467">
        <v>0.2</v>
      </c>
      <c r="L87" s="467">
        <f t="shared" si="75"/>
        <v>133207.2</v>
      </c>
      <c r="M87" s="467">
        <f t="shared" si="76"/>
        <v>333207.2</v>
      </c>
      <c r="N87" s="467">
        <f t="shared" si="77"/>
        <v>333207.2</v>
      </c>
      <c r="O87" s="467">
        <f t="shared" si="78"/>
        <v>332828.8</v>
      </c>
      <c r="P87" s="467">
        <f t="shared" si="79"/>
        <v>21000</v>
      </c>
      <c r="Q87" s="467">
        <f t="shared" si="80"/>
        <v>3611.168</v>
      </c>
      <c r="R87" s="467">
        <f t="shared" si="81"/>
        <v>0</v>
      </c>
      <c r="S87" s="467">
        <f t="shared" si="82"/>
        <v>0</v>
      </c>
      <c r="T87" s="467">
        <f t="shared" si="83"/>
        <v>0</v>
      </c>
      <c r="U87" s="467"/>
      <c r="V87" s="467">
        <f t="shared" si="84"/>
        <v>24611.168</v>
      </c>
      <c r="W87" s="474">
        <v>12</v>
      </c>
      <c r="X87" s="467">
        <f t="shared" si="85"/>
        <v>2050.93066666667</v>
      </c>
      <c r="Y87" s="470"/>
      <c r="Z87" s="467">
        <f t="shared" si="86"/>
        <v>2050.93066666667</v>
      </c>
      <c r="AA87" s="467">
        <v>79956.9391466667</v>
      </c>
      <c r="AB87" s="479">
        <f t="shared" si="87"/>
        <v>-77906.00848</v>
      </c>
      <c r="AC87" s="479" t="s">
        <v>208</v>
      </c>
      <c r="AD87" s="479"/>
      <c r="AE87" s="479"/>
    </row>
    <row r="88" ht="18" spans="1:31">
      <c r="A88" s="464">
        <v>71</v>
      </c>
      <c r="B88" s="11" t="s">
        <v>213</v>
      </c>
      <c r="C88" s="467">
        <v>48765.3333333358</v>
      </c>
      <c r="D88" s="466">
        <v>12</v>
      </c>
      <c r="E88" s="467">
        <f t="shared" si="73"/>
        <v>585184.00000003</v>
      </c>
      <c r="F88" s="467"/>
      <c r="G88" s="468"/>
      <c r="H88" s="470"/>
      <c r="I88" s="467">
        <f t="shared" si="74"/>
        <v>585184.00000003</v>
      </c>
      <c r="J88" s="467">
        <v>200000</v>
      </c>
      <c r="K88" s="467">
        <v>0.2</v>
      </c>
      <c r="L88" s="467">
        <f t="shared" si="75"/>
        <v>117036.800000006</v>
      </c>
      <c r="M88" s="467">
        <f t="shared" si="76"/>
        <v>317036.800000006</v>
      </c>
      <c r="N88" s="467">
        <f t="shared" si="77"/>
        <v>317036.800000006</v>
      </c>
      <c r="O88" s="467">
        <f t="shared" si="78"/>
        <v>268147.200000024</v>
      </c>
      <c r="P88" s="467">
        <f t="shared" si="79"/>
        <v>18770.3040000017</v>
      </c>
      <c r="Q88" s="467">
        <f t="shared" si="80"/>
        <v>0</v>
      </c>
      <c r="R88" s="467">
        <f t="shared" si="81"/>
        <v>0</v>
      </c>
      <c r="S88" s="467">
        <f t="shared" si="82"/>
        <v>0</v>
      </c>
      <c r="T88" s="467">
        <f t="shared" si="83"/>
        <v>0</v>
      </c>
      <c r="U88" s="467"/>
      <c r="V88" s="467">
        <f t="shared" si="84"/>
        <v>18770.3040000017</v>
      </c>
      <c r="W88" s="474">
        <v>12</v>
      </c>
      <c r="X88" s="467">
        <f t="shared" si="85"/>
        <v>1564.19200000014</v>
      </c>
      <c r="Y88" s="470"/>
      <c r="Z88" s="467">
        <f t="shared" si="86"/>
        <v>1564.19200000014</v>
      </c>
      <c r="AA88" s="467">
        <v>75574.6772906667</v>
      </c>
      <c r="AB88" s="479">
        <f t="shared" si="87"/>
        <v>-74010.4852906666</v>
      </c>
      <c r="AC88" s="479" t="s">
        <v>209</v>
      </c>
      <c r="AD88" s="479"/>
      <c r="AE88" s="479"/>
    </row>
    <row r="89" ht="18" spans="1:31">
      <c r="A89" s="464">
        <v>72</v>
      </c>
      <c r="B89" s="11" t="s">
        <v>214</v>
      </c>
      <c r="C89" s="467">
        <v>51556</v>
      </c>
      <c r="D89" s="466">
        <v>12</v>
      </c>
      <c r="E89" s="467">
        <f t="shared" si="73"/>
        <v>618672</v>
      </c>
      <c r="F89" s="467"/>
      <c r="G89" s="468"/>
      <c r="H89" s="470"/>
      <c r="I89" s="467">
        <f t="shared" si="74"/>
        <v>618672</v>
      </c>
      <c r="J89" s="467">
        <v>200000</v>
      </c>
      <c r="K89" s="467">
        <v>0.2</v>
      </c>
      <c r="L89" s="467">
        <f t="shared" si="75"/>
        <v>123734.4</v>
      </c>
      <c r="M89" s="467">
        <f t="shared" si="76"/>
        <v>323734.4</v>
      </c>
      <c r="N89" s="467">
        <f t="shared" si="77"/>
        <v>323734.4</v>
      </c>
      <c r="O89" s="467">
        <f t="shared" si="78"/>
        <v>294937.6</v>
      </c>
      <c r="P89" s="467">
        <f t="shared" si="79"/>
        <v>20645.632</v>
      </c>
      <c r="Q89" s="467">
        <f t="shared" si="80"/>
        <v>0</v>
      </c>
      <c r="R89" s="467">
        <f t="shared" si="81"/>
        <v>0</v>
      </c>
      <c r="S89" s="467">
        <f t="shared" si="82"/>
        <v>0</v>
      </c>
      <c r="T89" s="467">
        <f t="shared" si="83"/>
        <v>0</v>
      </c>
      <c r="U89" s="467"/>
      <c r="V89" s="467">
        <f t="shared" si="84"/>
        <v>20645.632</v>
      </c>
      <c r="W89" s="474">
        <v>12</v>
      </c>
      <c r="X89" s="467">
        <f t="shared" si="85"/>
        <v>1720.46933333333</v>
      </c>
      <c r="Y89" s="470"/>
      <c r="Z89" s="467">
        <f t="shared" si="86"/>
        <v>1720.46933333333</v>
      </c>
      <c r="AA89" s="467">
        <v>50985.9775466667</v>
      </c>
      <c r="AB89" s="479">
        <f t="shared" si="87"/>
        <v>-49265.5082133334</v>
      </c>
      <c r="AC89" s="479" t="s">
        <v>210</v>
      </c>
      <c r="AD89" s="479"/>
      <c r="AE89" s="479"/>
    </row>
    <row r="90" ht="18" spans="1:31">
      <c r="A90" s="464">
        <v>73</v>
      </c>
      <c r="B90" s="11" t="s">
        <v>217</v>
      </c>
      <c r="C90" s="467">
        <v>31743.6666666679</v>
      </c>
      <c r="D90" s="466">
        <v>12</v>
      </c>
      <c r="E90" s="467">
        <f t="shared" si="73"/>
        <v>380924.000000015</v>
      </c>
      <c r="F90" s="467"/>
      <c r="G90" s="468"/>
      <c r="H90" s="470"/>
      <c r="I90" s="467">
        <f t="shared" si="74"/>
        <v>380924.000000015</v>
      </c>
      <c r="J90" s="467">
        <v>200000</v>
      </c>
      <c r="K90" s="467">
        <v>0.2</v>
      </c>
      <c r="L90" s="467">
        <f t="shared" si="75"/>
        <v>76184.800000003</v>
      </c>
      <c r="M90" s="467">
        <f t="shared" si="76"/>
        <v>276184.800000003</v>
      </c>
      <c r="N90" s="467">
        <f t="shared" si="77"/>
        <v>276184.800000003</v>
      </c>
      <c r="O90" s="467">
        <f t="shared" si="78"/>
        <v>104739.200000012</v>
      </c>
      <c r="P90" s="467">
        <f t="shared" si="79"/>
        <v>7331.74400000084</v>
      </c>
      <c r="Q90" s="467">
        <f t="shared" si="80"/>
        <v>0</v>
      </c>
      <c r="R90" s="467">
        <f t="shared" si="81"/>
        <v>0</v>
      </c>
      <c r="S90" s="467">
        <f t="shared" si="82"/>
        <v>0</v>
      </c>
      <c r="T90" s="467">
        <f t="shared" si="83"/>
        <v>0</v>
      </c>
      <c r="U90" s="467"/>
      <c r="V90" s="467">
        <f t="shared" si="84"/>
        <v>7331.74400000084</v>
      </c>
      <c r="W90" s="474">
        <v>12</v>
      </c>
      <c r="X90" s="467">
        <f t="shared" si="85"/>
        <v>610.978666666736</v>
      </c>
      <c r="Y90" s="470"/>
      <c r="Z90" s="467">
        <f t="shared" si="86"/>
        <v>610.978666666736</v>
      </c>
      <c r="AA90" s="467">
        <v>49548.7761866667</v>
      </c>
      <c r="AB90" s="479">
        <f t="shared" si="87"/>
        <v>-48937.79752</v>
      </c>
      <c r="AC90" s="479" t="s">
        <v>211</v>
      </c>
      <c r="AD90" s="479"/>
      <c r="AE90" s="479"/>
    </row>
    <row r="91" ht="18" spans="1:31">
      <c r="A91" s="464">
        <v>74</v>
      </c>
      <c r="B91" s="11" t="s">
        <v>221</v>
      </c>
      <c r="C91" s="467">
        <v>24688.666666664</v>
      </c>
      <c r="D91" s="466">
        <v>12</v>
      </c>
      <c r="E91" s="467">
        <f t="shared" si="73"/>
        <v>296263.999999967</v>
      </c>
      <c r="F91" s="467"/>
      <c r="G91" s="473"/>
      <c r="H91" s="470"/>
      <c r="I91" s="467">
        <f t="shared" si="74"/>
        <v>296263.999999967</v>
      </c>
      <c r="J91" s="467">
        <v>200000</v>
      </c>
      <c r="K91" s="467">
        <v>0.2</v>
      </c>
      <c r="L91" s="467">
        <f t="shared" si="75"/>
        <v>59252.7999999935</v>
      </c>
      <c r="M91" s="467">
        <f t="shared" si="76"/>
        <v>259252.799999993</v>
      </c>
      <c r="N91" s="467">
        <f t="shared" si="77"/>
        <v>259252.799999993</v>
      </c>
      <c r="O91" s="467">
        <f t="shared" si="78"/>
        <v>37011.1999999739</v>
      </c>
      <c r="P91" s="467">
        <f t="shared" si="79"/>
        <v>2590.78399999818</v>
      </c>
      <c r="Q91" s="467">
        <f t="shared" si="80"/>
        <v>0</v>
      </c>
      <c r="R91" s="467">
        <f t="shared" si="81"/>
        <v>0</v>
      </c>
      <c r="S91" s="467">
        <f t="shared" si="82"/>
        <v>0</v>
      </c>
      <c r="T91" s="467">
        <f t="shared" si="83"/>
        <v>0</v>
      </c>
      <c r="U91" s="467"/>
      <c r="V91" s="467">
        <f t="shared" si="84"/>
        <v>2590.78399999818</v>
      </c>
      <c r="W91" s="474">
        <v>12</v>
      </c>
      <c r="X91" s="467">
        <f t="shared" si="85"/>
        <v>215.898666666515</v>
      </c>
      <c r="Y91" s="470"/>
      <c r="Z91" s="467">
        <f t="shared" si="86"/>
        <v>215.898666666515</v>
      </c>
      <c r="AA91" s="467">
        <v>53384.0535626667</v>
      </c>
      <c r="AB91" s="479">
        <f t="shared" si="87"/>
        <v>-53168.1548960002</v>
      </c>
      <c r="AC91" s="479" t="s">
        <v>213</v>
      </c>
      <c r="AD91" s="479"/>
      <c r="AE91" s="479"/>
    </row>
    <row r="92" ht="24" customHeight="1" spans="1:31">
      <c r="A92" s="464">
        <v>75</v>
      </c>
      <c r="B92" s="20" t="s">
        <v>120</v>
      </c>
      <c r="C92" s="467"/>
      <c r="D92" s="466"/>
      <c r="E92" s="467"/>
      <c r="F92" s="467"/>
      <c r="G92" s="470"/>
      <c r="H92" s="470"/>
      <c r="I92" s="467"/>
      <c r="J92" s="467"/>
      <c r="K92" s="467"/>
      <c r="L92" s="467"/>
      <c r="M92" s="467"/>
      <c r="N92" s="467"/>
      <c r="O92" s="467"/>
      <c r="P92" s="467"/>
      <c r="Q92" s="467"/>
      <c r="R92" s="467"/>
      <c r="S92" s="467"/>
      <c r="T92" s="467"/>
      <c r="U92" s="467"/>
      <c r="V92" s="467"/>
      <c r="W92" s="474"/>
      <c r="X92" s="467"/>
      <c r="Y92" s="470"/>
      <c r="Z92" s="467"/>
      <c r="AA92" s="479"/>
      <c r="AB92" s="479"/>
      <c r="AC92" s="479" t="s">
        <v>214</v>
      </c>
      <c r="AD92" s="479"/>
      <c r="AE92" s="479"/>
    </row>
    <row r="93" ht="17.5" spans="1:31">
      <c r="A93" s="464">
        <v>76</v>
      </c>
      <c r="B93" s="22"/>
      <c r="C93" s="467"/>
      <c r="D93" s="466"/>
      <c r="E93" s="467"/>
      <c r="F93" s="467"/>
      <c r="G93" s="470"/>
      <c r="H93" s="470"/>
      <c r="I93" s="467"/>
      <c r="J93" s="467"/>
      <c r="K93" s="467"/>
      <c r="L93" s="467"/>
      <c r="M93" s="467"/>
      <c r="N93" s="467"/>
      <c r="O93" s="467"/>
      <c r="P93" s="467"/>
      <c r="Q93" s="467"/>
      <c r="R93" s="467"/>
      <c r="S93" s="467"/>
      <c r="T93" s="467"/>
      <c r="U93" s="467"/>
      <c r="V93" s="467"/>
      <c r="W93" s="474"/>
      <c r="X93" s="467"/>
      <c r="Y93" s="470"/>
      <c r="Z93" s="467"/>
      <c r="AA93" s="479"/>
      <c r="AB93" s="479"/>
      <c r="AC93" s="479" t="s">
        <v>217</v>
      </c>
      <c r="AD93" s="479"/>
      <c r="AE93" s="479"/>
    </row>
    <row r="94" ht="17.5" spans="1:31">
      <c r="A94" s="464"/>
      <c r="B94" s="20" t="s">
        <v>224</v>
      </c>
      <c r="C94" s="467"/>
      <c r="D94" s="466"/>
      <c r="E94" s="467"/>
      <c r="F94" s="467"/>
      <c r="G94" s="470"/>
      <c r="H94" s="470"/>
      <c r="I94" s="467"/>
      <c r="J94" s="467"/>
      <c r="K94" s="467"/>
      <c r="L94" s="467"/>
      <c r="M94" s="467"/>
      <c r="N94" s="467"/>
      <c r="O94" s="467"/>
      <c r="P94" s="467"/>
      <c r="Q94" s="467"/>
      <c r="R94" s="467"/>
      <c r="S94" s="467"/>
      <c r="T94" s="467"/>
      <c r="U94" s="467"/>
      <c r="V94" s="467"/>
      <c r="W94" s="474"/>
      <c r="X94" s="467"/>
      <c r="Y94" s="470"/>
      <c r="Z94" s="467"/>
      <c r="AA94" s="479"/>
      <c r="AB94" s="479"/>
      <c r="AC94" s="479" t="s">
        <v>221</v>
      </c>
      <c r="AD94" s="479"/>
      <c r="AE94" s="479"/>
    </row>
    <row r="95" ht="18" spans="1:31">
      <c r="A95" s="464"/>
      <c r="B95" s="14" t="s">
        <v>225</v>
      </c>
      <c r="C95" s="467">
        <v>167354.66666664</v>
      </c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8" spans="1:31">
      <c r="A96" s="464"/>
      <c r="B96" s="11" t="s">
        <v>227</v>
      </c>
      <c r="C96" s="467">
        <v>55503</v>
      </c>
      <c r="D96" s="466">
        <v>12</v>
      </c>
      <c r="E96" s="467">
        <f>C96*D96</f>
        <v>666036</v>
      </c>
      <c r="F96" s="467"/>
      <c r="G96" s="468"/>
      <c r="H96" s="470"/>
      <c r="I96" s="467">
        <f>E96-F96-G96-H96</f>
        <v>666036</v>
      </c>
      <c r="J96" s="467">
        <v>200000</v>
      </c>
      <c r="K96" s="467">
        <v>0.2</v>
      </c>
      <c r="L96" s="467">
        <f>I96*K96</f>
        <v>133207.2</v>
      </c>
      <c r="M96" s="467">
        <f>J96+L96</f>
        <v>333207.2</v>
      </c>
      <c r="N96" s="467">
        <f>F96+G96+H96+M96</f>
        <v>333207.2</v>
      </c>
      <c r="O96" s="467">
        <f>E96-N96</f>
        <v>332828.8</v>
      </c>
      <c r="P96" s="467">
        <f>IF(O96&lt;300000,0.07*O96,21000)</f>
        <v>21000</v>
      </c>
      <c r="Q96" s="467">
        <f>IF((O96-300000)&lt;0,0,IF((O96-300000)&lt;300000,0.11*(O96-300000),33000))</f>
        <v>3611.168</v>
      </c>
      <c r="R96" s="467">
        <f>IF((O96-600000)&lt;0,0,IF((O96-600000)&lt;500000,0.15*(O96-600000),75000))</f>
        <v>0</v>
      </c>
      <c r="S96" s="467">
        <f>IF((O96-1100000)&lt;0,0,IF((O96-1100000)&lt;500000,0.19*(O96-1100000),95000))</f>
        <v>0</v>
      </c>
      <c r="T96" s="467">
        <f>IF((O96-1600000)&lt;0,0,IF((O96-1600000)&lt;1600000,0.21*(O96-1600000),336000))</f>
        <v>0</v>
      </c>
      <c r="U96" s="467"/>
      <c r="V96" s="467">
        <f>P96+Q96+R96+S96+T96+U96</f>
        <v>24611.168</v>
      </c>
      <c r="W96" s="474">
        <v>12</v>
      </c>
      <c r="X96" s="467">
        <f>V96/W96</f>
        <v>2050.93066666667</v>
      </c>
      <c r="Y96" s="470"/>
      <c r="Z96" s="467">
        <f>X96</f>
        <v>2050.93066666667</v>
      </c>
      <c r="AA96" s="479">
        <v>82423.2162026667</v>
      </c>
      <c r="AB96" s="479"/>
      <c r="AC96" s="479"/>
      <c r="AD96" s="479"/>
      <c r="AE96" s="479"/>
    </row>
    <row r="97" ht="18" spans="1:31">
      <c r="A97" s="464">
        <v>78</v>
      </c>
      <c r="B97" s="11" t="s">
        <v>229</v>
      </c>
      <c r="C97" s="467">
        <v>51556</v>
      </c>
      <c r="D97" s="466">
        <v>12</v>
      </c>
      <c r="E97" s="467">
        <f>C97*D97</f>
        <v>618672</v>
      </c>
      <c r="F97" s="467"/>
      <c r="G97" s="468"/>
      <c r="H97" s="470"/>
      <c r="I97" s="467">
        <f>E97-F97-G97-H97</f>
        <v>618672</v>
      </c>
      <c r="J97" s="467">
        <v>200000</v>
      </c>
      <c r="K97" s="467">
        <v>0.2</v>
      </c>
      <c r="L97" s="467">
        <f>I97*K97</f>
        <v>123734.4</v>
      </c>
      <c r="M97" s="467">
        <f>J97+L97</f>
        <v>323734.4</v>
      </c>
      <c r="N97" s="467">
        <f>F97+G97+H97+M97</f>
        <v>323734.4</v>
      </c>
      <c r="O97" s="467">
        <f>E97-N97</f>
        <v>294937.6</v>
      </c>
      <c r="P97" s="467">
        <f>IF(O97&lt;300000,0.07*O97,21000)</f>
        <v>20645.632</v>
      </c>
      <c r="Q97" s="467">
        <f>IF((O97-300000)&lt;0,0,IF((O97-300000)&lt;300000,0.11*(O97-300000),33000))</f>
        <v>0</v>
      </c>
      <c r="R97" s="467">
        <f>IF((O97-600000)&lt;0,0,IF((O97-600000)&lt;500000,0.15*(O97-600000),75000))</f>
        <v>0</v>
      </c>
      <c r="S97" s="467">
        <f>IF((O97-1100000)&lt;0,0,IF((O97-1100000)&lt;500000,0.19*(O97-1100000),95000))</f>
        <v>0</v>
      </c>
      <c r="T97" s="467">
        <f>IF((O97-1600000)&lt;0,0,IF((O97-1600000)&lt;1600000,0.21*(O97-1600000),336000))</f>
        <v>0</v>
      </c>
      <c r="U97" s="467"/>
      <c r="V97" s="467">
        <f>P97+Q97+R97+S97+T97+U97</f>
        <v>20645.632</v>
      </c>
      <c r="W97" s="474">
        <v>12</v>
      </c>
      <c r="X97" s="467">
        <f>V97/W97</f>
        <v>1720.46933333333</v>
      </c>
      <c r="Y97" s="470"/>
      <c r="Z97" s="467">
        <f>X97</f>
        <v>1720.46933333333</v>
      </c>
      <c r="AA97" s="479">
        <v>82423.2162026667</v>
      </c>
      <c r="AC97" s="479"/>
      <c r="AD97" s="479"/>
      <c r="AE97" s="479"/>
    </row>
    <row r="98" ht="18" spans="1:31">
      <c r="A98" s="464">
        <v>79</v>
      </c>
      <c r="B98" s="11" t="s">
        <v>233</v>
      </c>
      <c r="C98" s="467">
        <v>48765.3333333321</v>
      </c>
      <c r="D98" s="466">
        <v>12</v>
      </c>
      <c r="E98" s="467">
        <f t="shared" ref="E98:E101" si="88">C98*D98</f>
        <v>585183.999999985</v>
      </c>
      <c r="F98" s="467"/>
      <c r="G98" s="468"/>
      <c r="H98" s="470"/>
      <c r="I98" s="467">
        <f t="shared" ref="I98:I101" si="89">E98-F98-G98-H98</f>
        <v>585183.999999985</v>
      </c>
      <c r="J98" s="467">
        <v>200000</v>
      </c>
      <c r="K98" s="467">
        <v>0.2</v>
      </c>
      <c r="L98" s="467">
        <f t="shared" ref="L98:L101" si="90">I98*K98</f>
        <v>117036.799999997</v>
      </c>
      <c r="M98" s="467">
        <f t="shared" ref="M98:M101" si="91">J98+L98</f>
        <v>317036.799999997</v>
      </c>
      <c r="N98" s="467">
        <f t="shared" ref="N98:N101" si="92">F98+G98+H98+M98</f>
        <v>317036.799999997</v>
      </c>
      <c r="O98" s="467">
        <f t="shared" ref="O98:O101" si="93">E98-N98</f>
        <v>268147.199999988</v>
      </c>
      <c r="P98" s="467">
        <f t="shared" ref="P98:P101" si="94">IF(O98&lt;300000,0.07*O98,21000)</f>
        <v>18770.3039999992</v>
      </c>
      <c r="Q98" s="467">
        <f t="shared" ref="Q98:Q101" si="95">IF((O98-300000)&lt;0,0,IF((O98-300000)&lt;300000,0.11*(O98-300000),33000))</f>
        <v>0</v>
      </c>
      <c r="R98" s="467">
        <f t="shared" ref="R98:R101" si="96">IF((O98-600000)&lt;0,0,IF((O98-600000)&lt;500000,0.15*(O98-600000),75000))</f>
        <v>0</v>
      </c>
      <c r="S98" s="467">
        <f t="shared" ref="S98:S101" si="97">IF((O98-1100000)&lt;0,0,IF((O98-1100000)&lt;500000,0.19*(O98-1100000),95000))</f>
        <v>0</v>
      </c>
      <c r="T98" s="467">
        <f t="shared" ref="T98:T101" si="98">IF((O98-1600000)&lt;0,0,IF((O98-1600000)&lt;1600000,0.21*(O98-1600000),336000))</f>
        <v>0</v>
      </c>
      <c r="U98" s="467"/>
      <c r="V98" s="467">
        <f t="shared" ref="V98:V101" si="99">P98+Q98+R98+S98+T98+U98</f>
        <v>18770.3039999992</v>
      </c>
      <c r="W98" s="474">
        <v>12</v>
      </c>
      <c r="X98" s="467">
        <f t="shared" ref="X98:X101" si="100">V98/W98</f>
        <v>1564.19199999993</v>
      </c>
      <c r="Y98" s="470"/>
      <c r="Z98" s="467">
        <f t="shared" ref="Z98:Z101" si="101">X98</f>
        <v>1564.19199999993</v>
      </c>
      <c r="AA98" s="479">
        <v>82423.2162026667</v>
      </c>
      <c r="AB98" s="479">
        <f t="shared" ref="AB98:AB101" si="102">Z98-AA98</f>
        <v>-80859.0242026668</v>
      </c>
      <c r="AC98" s="479" t="s">
        <v>225</v>
      </c>
      <c r="AD98" s="479"/>
      <c r="AE98" s="479"/>
    </row>
    <row r="99" ht="18" spans="1:31">
      <c r="A99" s="464">
        <v>80</v>
      </c>
      <c r="B99" s="11" t="s">
        <v>234</v>
      </c>
      <c r="C99" s="467">
        <v>31743.6666666679</v>
      </c>
      <c r="D99" s="466">
        <v>12</v>
      </c>
      <c r="E99" s="467">
        <f t="shared" si="88"/>
        <v>380924.000000015</v>
      </c>
      <c r="F99" s="467"/>
      <c r="G99" s="468"/>
      <c r="H99" s="470"/>
      <c r="I99" s="467">
        <f t="shared" si="89"/>
        <v>380924.000000015</v>
      </c>
      <c r="J99" s="467">
        <v>200000</v>
      </c>
      <c r="K99" s="467">
        <v>0.2</v>
      </c>
      <c r="L99" s="467">
        <f t="shared" si="90"/>
        <v>76184.800000003</v>
      </c>
      <c r="M99" s="467">
        <f t="shared" si="91"/>
        <v>276184.800000003</v>
      </c>
      <c r="N99" s="467">
        <f t="shared" si="92"/>
        <v>276184.800000003</v>
      </c>
      <c r="O99" s="467">
        <f t="shared" si="93"/>
        <v>104739.200000012</v>
      </c>
      <c r="P99" s="467">
        <f t="shared" si="94"/>
        <v>7331.74400000084</v>
      </c>
      <c r="Q99" s="467">
        <f t="shared" si="95"/>
        <v>0</v>
      </c>
      <c r="R99" s="467">
        <f t="shared" si="96"/>
        <v>0</v>
      </c>
      <c r="S99" s="467">
        <f t="shared" si="97"/>
        <v>0</v>
      </c>
      <c r="T99" s="467">
        <f t="shared" si="98"/>
        <v>0</v>
      </c>
      <c r="U99" s="467"/>
      <c r="V99" s="467">
        <f t="shared" si="99"/>
        <v>7331.74400000084</v>
      </c>
      <c r="W99" s="474">
        <v>12</v>
      </c>
      <c r="X99" s="467">
        <f t="shared" si="100"/>
        <v>610.978666666736</v>
      </c>
      <c r="Y99" s="470"/>
      <c r="Z99" s="467">
        <f t="shared" si="101"/>
        <v>610.978666666736</v>
      </c>
      <c r="AA99" s="479">
        <v>82627.9514186667</v>
      </c>
      <c r="AB99" s="479">
        <f t="shared" si="102"/>
        <v>-82016.972752</v>
      </c>
      <c r="AC99" s="479" t="s">
        <v>227</v>
      </c>
      <c r="AD99" s="479"/>
      <c r="AE99" s="479"/>
    </row>
    <row r="100" ht="17.5" spans="1:31">
      <c r="A100" s="464">
        <v>81</v>
      </c>
      <c r="B100" s="20" t="s">
        <v>120</v>
      </c>
      <c r="C100" s="467">
        <v>354922.66666664</v>
      </c>
      <c r="D100" s="466">
        <v>12</v>
      </c>
      <c r="E100" s="467">
        <f t="shared" si="88"/>
        <v>4259071.99999968</v>
      </c>
      <c r="F100" s="467"/>
      <c r="G100" s="468"/>
      <c r="H100" s="470"/>
      <c r="I100" s="467">
        <f t="shared" si="89"/>
        <v>4259071.99999968</v>
      </c>
      <c r="J100" s="467">
        <v>200000</v>
      </c>
      <c r="K100" s="467">
        <v>0.2</v>
      </c>
      <c r="L100" s="467">
        <f t="shared" si="90"/>
        <v>851814.399999936</v>
      </c>
      <c r="M100" s="467">
        <f t="shared" si="91"/>
        <v>1051814.39999994</v>
      </c>
      <c r="N100" s="467">
        <f t="shared" si="92"/>
        <v>1051814.39999994</v>
      </c>
      <c r="O100" s="467">
        <f t="shared" si="93"/>
        <v>3207257.59999974</v>
      </c>
      <c r="P100" s="467">
        <f t="shared" si="94"/>
        <v>21000</v>
      </c>
      <c r="Q100" s="467">
        <f t="shared" si="95"/>
        <v>33000</v>
      </c>
      <c r="R100" s="467">
        <f t="shared" si="96"/>
        <v>75000</v>
      </c>
      <c r="S100" s="467">
        <f t="shared" si="97"/>
        <v>95000</v>
      </c>
      <c r="T100" s="467">
        <f t="shared" si="98"/>
        <v>336000</v>
      </c>
      <c r="U100" s="467"/>
      <c r="V100" s="467">
        <f t="shared" si="99"/>
        <v>560000</v>
      </c>
      <c r="W100" s="474">
        <v>12</v>
      </c>
      <c r="X100" s="467">
        <f t="shared" si="100"/>
        <v>46666.6666666667</v>
      </c>
      <c r="Y100" s="470"/>
      <c r="Z100" s="467">
        <f t="shared" si="101"/>
        <v>46666.6666666667</v>
      </c>
      <c r="AA100" s="479">
        <v>43492.3733766667</v>
      </c>
      <c r="AB100" s="479">
        <f t="shared" si="102"/>
        <v>3174.29328999997</v>
      </c>
      <c r="AC100" s="479" t="s">
        <v>233</v>
      </c>
      <c r="AD100" s="479"/>
      <c r="AE100" s="479"/>
    </row>
    <row r="101" ht="17.5" spans="1:31">
      <c r="A101" s="464"/>
      <c r="B101" s="22"/>
      <c r="C101" s="467"/>
      <c r="D101" s="466"/>
      <c r="E101" s="467"/>
      <c r="F101" s="467"/>
      <c r="G101" s="470"/>
      <c r="H101" s="470"/>
      <c r="I101" s="467"/>
      <c r="J101" s="467"/>
      <c r="K101" s="467"/>
      <c r="L101" s="467"/>
      <c r="M101" s="467"/>
      <c r="N101" s="467"/>
      <c r="O101" s="467"/>
      <c r="P101" s="467"/>
      <c r="Q101" s="467"/>
      <c r="R101" s="467"/>
      <c r="S101" s="467"/>
      <c r="T101" s="467"/>
      <c r="U101" s="467"/>
      <c r="V101" s="467"/>
      <c r="W101" s="474"/>
      <c r="X101" s="467"/>
      <c r="Y101" s="470"/>
      <c r="Z101" s="467"/>
      <c r="AA101" s="479"/>
      <c r="AB101" s="479">
        <f t="shared" si="102"/>
        <v>0</v>
      </c>
      <c r="AC101" s="479" t="s">
        <v>234</v>
      </c>
      <c r="AD101" s="479"/>
      <c r="AE101" s="479"/>
    </row>
    <row r="102" ht="35" spans="1:31">
      <c r="A102" s="464"/>
      <c r="B102" s="20" t="s">
        <v>237</v>
      </c>
      <c r="C102" s="467"/>
      <c r="D102" s="466"/>
      <c r="E102" s="467"/>
      <c r="F102" s="467"/>
      <c r="G102" s="470"/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8" spans="1:31">
      <c r="A103" s="464">
        <v>83</v>
      </c>
      <c r="B103" s="11" t="s">
        <v>556</v>
      </c>
      <c r="C103" s="467"/>
      <c r="AC103" s="479"/>
      <c r="AD103" s="479"/>
      <c r="AE103" s="479"/>
    </row>
    <row r="104" ht="18" spans="1:31">
      <c r="A104" s="464">
        <v>84</v>
      </c>
      <c r="B104" s="11" t="s">
        <v>240</v>
      </c>
      <c r="C104" s="467"/>
      <c r="AB104" s="296" t="s">
        <v>808</v>
      </c>
      <c r="AC104" s="479"/>
      <c r="AD104" s="479"/>
      <c r="AE104" s="479"/>
    </row>
    <row r="105" ht="18" spans="1:31">
      <c r="A105" s="464">
        <v>85</v>
      </c>
      <c r="B105" s="11" t="s">
        <v>242</v>
      </c>
      <c r="C105" s="467"/>
      <c r="D105" s="466">
        <v>12</v>
      </c>
      <c r="E105" s="467">
        <f t="shared" ref="E105:E111" si="103">C105*D105</f>
        <v>0</v>
      </c>
      <c r="F105" s="467"/>
      <c r="G105" s="468"/>
      <c r="H105" s="470"/>
      <c r="I105" s="467">
        <f t="shared" ref="I105:I110" si="104">E105-F105-G105-H105</f>
        <v>0</v>
      </c>
      <c r="J105" s="467">
        <v>200000</v>
      </c>
      <c r="K105" s="467">
        <v>0.2</v>
      </c>
      <c r="L105" s="467">
        <f t="shared" ref="L105:L111" si="105">I105*K105</f>
        <v>0</v>
      </c>
      <c r="M105" s="467">
        <f t="shared" ref="M105:M111" si="106">J105+L105</f>
        <v>200000</v>
      </c>
      <c r="N105" s="467">
        <f t="shared" ref="N105:N110" si="107">F105+G105+H105+M105</f>
        <v>200000</v>
      </c>
      <c r="O105" s="467">
        <f t="shared" ref="O105:O111" si="108">E105-N105</f>
        <v>-200000</v>
      </c>
      <c r="P105" s="467">
        <f t="shared" ref="P105:P111" si="109">IF(O105&lt;300000,0.07*O105,21000)</f>
        <v>-14000</v>
      </c>
      <c r="Q105" s="467">
        <f t="shared" ref="Q105:Q111" si="110">IF((O105-300000)&lt;0,0,IF((O105-300000)&lt;300000,0.11*(O105-300000),33000))</f>
        <v>0</v>
      </c>
      <c r="R105" s="467">
        <f t="shared" ref="R105:R111" si="111">IF((O105-600000)&lt;0,0,IF((O105-600000)&lt;500000,0.15*(O105-600000),75000))</f>
        <v>0</v>
      </c>
      <c r="S105" s="467">
        <f t="shared" ref="S105:S111" si="112">IF((O105-1100000)&lt;0,0,IF((O105-1100000)&lt;500000,0.19*(O105-1100000),95000))</f>
        <v>0</v>
      </c>
      <c r="T105" s="467">
        <f t="shared" ref="T105:T111" si="113">IF((O105-1600000)&lt;0,0,IF((O105-1600000)&lt;1600000,0.21*(O105-1600000),336000))</f>
        <v>0</v>
      </c>
      <c r="U105" s="467"/>
      <c r="V105" s="467">
        <f t="shared" ref="V105:V111" si="114">P105+Q105+R105+S105+T105+U105</f>
        <v>-14000</v>
      </c>
      <c r="W105" s="474">
        <v>12</v>
      </c>
      <c r="X105" s="467">
        <f t="shared" ref="X105:X111" si="115">V105/W105</f>
        <v>-1166.66666666667</v>
      </c>
      <c r="Y105" s="470"/>
      <c r="Z105" s="467">
        <f t="shared" ref="Z105:Z111" si="116">X105</f>
        <v>-1166.66666666667</v>
      </c>
      <c r="AA105" s="479">
        <v>180306.806858667</v>
      </c>
      <c r="AB105" s="479">
        <f t="shared" ref="AB105:AB111" si="117">Z105-AA105</f>
        <v>-181473.473525334</v>
      </c>
      <c r="AC105" s="479" t="s">
        <v>556</v>
      </c>
      <c r="AD105" s="479"/>
      <c r="AE105" s="479"/>
    </row>
    <row r="106" ht="18" spans="1:31">
      <c r="A106" s="464">
        <v>86</v>
      </c>
      <c r="B106" s="11" t="s">
        <v>244</v>
      </c>
      <c r="C106" s="467"/>
      <c r="D106" s="466">
        <v>12</v>
      </c>
      <c r="E106" s="467">
        <f t="shared" si="103"/>
        <v>0</v>
      </c>
      <c r="F106" s="467"/>
      <c r="G106" s="468"/>
      <c r="H106" s="470"/>
      <c r="I106" s="467">
        <f t="shared" si="104"/>
        <v>0</v>
      </c>
      <c r="J106" s="467">
        <v>200000</v>
      </c>
      <c r="K106" s="467">
        <v>0.2</v>
      </c>
      <c r="L106" s="467">
        <f t="shared" si="105"/>
        <v>0</v>
      </c>
      <c r="M106" s="467">
        <f t="shared" si="106"/>
        <v>200000</v>
      </c>
      <c r="N106" s="467">
        <f t="shared" si="107"/>
        <v>200000</v>
      </c>
      <c r="O106" s="467">
        <f t="shared" si="108"/>
        <v>-200000</v>
      </c>
      <c r="P106" s="467">
        <f t="shared" si="109"/>
        <v>-14000</v>
      </c>
      <c r="Q106" s="467">
        <f t="shared" si="110"/>
        <v>0</v>
      </c>
      <c r="R106" s="467">
        <f t="shared" si="111"/>
        <v>0</v>
      </c>
      <c r="S106" s="467">
        <f t="shared" si="112"/>
        <v>0</v>
      </c>
      <c r="T106" s="467">
        <f t="shared" si="113"/>
        <v>0</v>
      </c>
      <c r="U106" s="467"/>
      <c r="V106" s="467">
        <f t="shared" si="114"/>
        <v>-14000</v>
      </c>
      <c r="W106" s="474">
        <v>12</v>
      </c>
      <c r="X106" s="467">
        <f t="shared" si="115"/>
        <v>-1166.66666666667</v>
      </c>
      <c r="Y106" s="470"/>
      <c r="Z106" s="467">
        <f t="shared" si="116"/>
        <v>-1166.66666666667</v>
      </c>
      <c r="AA106" s="479">
        <v>99703.2162026667</v>
      </c>
      <c r="AB106" s="479">
        <f t="shared" si="117"/>
        <v>-100869.882869333</v>
      </c>
      <c r="AC106" s="479" t="s">
        <v>240</v>
      </c>
      <c r="AD106" s="479"/>
      <c r="AE106" s="479"/>
    </row>
    <row r="107" ht="18" spans="1:31">
      <c r="A107" s="464">
        <v>87</v>
      </c>
      <c r="B107" s="11" t="s">
        <v>247</v>
      </c>
      <c r="C107" s="467">
        <v>24688.666666664</v>
      </c>
      <c r="D107" s="466">
        <v>12</v>
      </c>
      <c r="E107" s="467">
        <f t="shared" si="103"/>
        <v>296263.999999967</v>
      </c>
      <c r="F107" s="467"/>
      <c r="G107" s="468"/>
      <c r="H107" s="470"/>
      <c r="I107" s="467">
        <f t="shared" si="104"/>
        <v>296263.999999967</v>
      </c>
      <c r="J107" s="467">
        <v>200000</v>
      </c>
      <c r="K107" s="467">
        <v>0.2</v>
      </c>
      <c r="L107" s="467">
        <f t="shared" si="105"/>
        <v>59252.7999999935</v>
      </c>
      <c r="M107" s="467">
        <f t="shared" si="106"/>
        <v>259252.799999993</v>
      </c>
      <c r="N107" s="467">
        <f t="shared" si="107"/>
        <v>259252.799999993</v>
      </c>
      <c r="O107" s="467">
        <f t="shared" si="108"/>
        <v>37011.1999999739</v>
      </c>
      <c r="P107" s="467">
        <f t="shared" si="109"/>
        <v>2590.78399999818</v>
      </c>
      <c r="Q107" s="467">
        <f t="shared" si="110"/>
        <v>0</v>
      </c>
      <c r="R107" s="467">
        <f t="shared" si="111"/>
        <v>0</v>
      </c>
      <c r="S107" s="467">
        <f t="shared" si="112"/>
        <v>0</v>
      </c>
      <c r="T107" s="467">
        <f t="shared" si="113"/>
        <v>0</v>
      </c>
      <c r="U107" s="467"/>
      <c r="V107" s="467">
        <f t="shared" si="114"/>
        <v>2590.78399999818</v>
      </c>
      <c r="W107" s="474">
        <v>12</v>
      </c>
      <c r="X107" s="467">
        <f t="shared" si="115"/>
        <v>215.898666666515</v>
      </c>
      <c r="Y107" s="470"/>
      <c r="Z107" s="467">
        <f t="shared" si="116"/>
        <v>215.898666666515</v>
      </c>
      <c r="AA107" s="479">
        <v>180180.378218667</v>
      </c>
      <c r="AB107" s="479">
        <f t="shared" si="117"/>
        <v>-179964.479552</v>
      </c>
      <c r="AC107" s="479" t="s">
        <v>242</v>
      </c>
      <c r="AD107" s="479"/>
      <c r="AE107" s="479"/>
    </row>
    <row r="108" ht="36" spans="1:31">
      <c r="A108" s="464">
        <v>88</v>
      </c>
      <c r="B108" s="18" t="s">
        <v>250</v>
      </c>
      <c r="C108" s="467">
        <v>24688.666666668</v>
      </c>
      <c r="D108" s="466">
        <v>12</v>
      </c>
      <c r="E108" s="467">
        <f t="shared" si="103"/>
        <v>296264.000000016</v>
      </c>
      <c r="F108" s="467"/>
      <c r="G108" s="468"/>
      <c r="H108" s="470"/>
      <c r="I108" s="467">
        <f t="shared" si="104"/>
        <v>296264.000000016</v>
      </c>
      <c r="J108" s="467">
        <v>200000</v>
      </c>
      <c r="K108" s="467">
        <v>0.2</v>
      </c>
      <c r="L108" s="467">
        <f t="shared" si="105"/>
        <v>59252.8000000033</v>
      </c>
      <c r="M108" s="467">
        <f t="shared" si="106"/>
        <v>259252.800000003</v>
      </c>
      <c r="N108" s="467">
        <f t="shared" si="107"/>
        <v>259252.800000003</v>
      </c>
      <c r="O108" s="467">
        <f t="shared" si="108"/>
        <v>37011.2000000131</v>
      </c>
      <c r="P108" s="467">
        <f t="shared" si="109"/>
        <v>2590.78400000091</v>
      </c>
      <c r="Q108" s="467">
        <f t="shared" si="110"/>
        <v>0</v>
      </c>
      <c r="R108" s="467">
        <f t="shared" si="111"/>
        <v>0</v>
      </c>
      <c r="S108" s="467">
        <f t="shared" si="112"/>
        <v>0</v>
      </c>
      <c r="T108" s="467">
        <f t="shared" si="113"/>
        <v>0</v>
      </c>
      <c r="U108" s="467"/>
      <c r="V108" s="467">
        <f t="shared" si="114"/>
        <v>2590.78400000091</v>
      </c>
      <c r="W108" s="474">
        <v>12</v>
      </c>
      <c r="X108" s="467">
        <f t="shared" si="115"/>
        <v>215.898666666743</v>
      </c>
      <c r="Y108" s="470"/>
      <c r="Z108" s="467">
        <f t="shared" si="116"/>
        <v>215.898666666743</v>
      </c>
      <c r="AA108" s="479">
        <v>99907.9514186667</v>
      </c>
      <c r="AB108" s="479">
        <f t="shared" si="117"/>
        <v>-99692.0527519999</v>
      </c>
      <c r="AC108" s="479" t="s">
        <v>244</v>
      </c>
      <c r="AD108" s="479"/>
      <c r="AE108" s="479"/>
    </row>
    <row r="109" ht="18" spans="1:31">
      <c r="A109" s="464">
        <v>89</v>
      </c>
      <c r="B109" s="18" t="s">
        <v>251</v>
      </c>
      <c r="C109" s="467">
        <v>24688.666666664</v>
      </c>
      <c r="D109" s="466">
        <v>12</v>
      </c>
      <c r="E109" s="467">
        <f t="shared" si="103"/>
        <v>296263.999999967</v>
      </c>
      <c r="F109" s="467"/>
      <c r="G109" s="468"/>
      <c r="H109" s="470"/>
      <c r="I109" s="467">
        <f t="shared" si="104"/>
        <v>296263.999999967</v>
      </c>
      <c r="J109" s="467">
        <v>200000</v>
      </c>
      <c r="K109" s="467">
        <v>0.2</v>
      </c>
      <c r="L109" s="467">
        <f t="shared" si="105"/>
        <v>59252.7999999935</v>
      </c>
      <c r="M109" s="467">
        <f t="shared" si="106"/>
        <v>259252.799999993</v>
      </c>
      <c r="N109" s="467">
        <f t="shared" si="107"/>
        <v>259252.799999993</v>
      </c>
      <c r="O109" s="467">
        <f t="shared" si="108"/>
        <v>37011.1999999739</v>
      </c>
      <c r="P109" s="467">
        <f t="shared" si="109"/>
        <v>2590.78399999818</v>
      </c>
      <c r="Q109" s="467">
        <f t="shared" si="110"/>
        <v>0</v>
      </c>
      <c r="R109" s="467">
        <f t="shared" si="111"/>
        <v>0</v>
      </c>
      <c r="S109" s="467">
        <f t="shared" si="112"/>
        <v>0</v>
      </c>
      <c r="T109" s="467">
        <f t="shared" si="113"/>
        <v>0</v>
      </c>
      <c r="U109" s="467"/>
      <c r="V109" s="467">
        <f t="shared" si="114"/>
        <v>2590.78399999818</v>
      </c>
      <c r="W109" s="474">
        <v>12</v>
      </c>
      <c r="X109" s="467">
        <f t="shared" si="115"/>
        <v>215.898666666515</v>
      </c>
      <c r="Y109" s="470"/>
      <c r="Z109" s="467">
        <f t="shared" si="116"/>
        <v>215.898666666515</v>
      </c>
      <c r="AA109" s="479">
        <v>58941.1017434667</v>
      </c>
      <c r="AB109" s="479">
        <f t="shared" si="117"/>
        <v>-58725.2030768002</v>
      </c>
      <c r="AC109" s="479" t="s">
        <v>247</v>
      </c>
      <c r="AD109" s="479"/>
      <c r="AE109" s="479"/>
    </row>
    <row r="110" ht="17.5" spans="1:31">
      <c r="A110" s="464"/>
      <c r="B110" s="20" t="s">
        <v>120</v>
      </c>
      <c r="C110" s="467"/>
      <c r="D110" s="466"/>
      <c r="E110" s="467"/>
      <c r="F110" s="467"/>
      <c r="G110" s="470"/>
      <c r="H110" s="470"/>
      <c r="I110" s="467"/>
      <c r="J110" s="467"/>
      <c r="K110" s="467"/>
      <c r="L110" s="467"/>
      <c r="M110" s="467"/>
      <c r="N110" s="467"/>
      <c r="O110" s="467"/>
      <c r="P110" s="467"/>
      <c r="Q110" s="467"/>
      <c r="R110" s="467"/>
      <c r="S110" s="467"/>
      <c r="T110" s="467"/>
      <c r="U110" s="467"/>
      <c r="V110" s="467"/>
      <c r="W110" s="474"/>
      <c r="X110" s="467"/>
      <c r="Y110" s="470"/>
      <c r="Z110" s="467"/>
      <c r="AA110" s="479"/>
      <c r="AB110" s="479">
        <f t="shared" si="117"/>
        <v>0</v>
      </c>
      <c r="AC110" s="479" t="s">
        <v>250</v>
      </c>
      <c r="AD110" s="479"/>
      <c r="AE110" s="479"/>
    </row>
    <row r="111" ht="17.5" spans="1:31">
      <c r="A111" s="464"/>
      <c r="B111" s="20"/>
      <c r="C111" s="467"/>
      <c r="D111" s="466"/>
      <c r="E111" s="467"/>
      <c r="F111" s="467"/>
      <c r="G111" s="470"/>
      <c r="H111" s="470"/>
      <c r="I111" s="467"/>
      <c r="J111" s="467"/>
      <c r="K111" s="467"/>
      <c r="L111" s="467"/>
      <c r="M111" s="467"/>
      <c r="N111" s="467"/>
      <c r="O111" s="467"/>
      <c r="P111" s="467"/>
      <c r="Q111" s="467"/>
      <c r="R111" s="467"/>
      <c r="S111" s="467"/>
      <c r="T111" s="467"/>
      <c r="U111" s="467"/>
      <c r="V111" s="467"/>
      <c r="W111" s="474"/>
      <c r="X111" s="467"/>
      <c r="Y111" s="470"/>
      <c r="Z111" s="467"/>
      <c r="AA111" s="479"/>
      <c r="AB111" s="479">
        <f t="shared" si="117"/>
        <v>0</v>
      </c>
      <c r="AC111" s="479" t="s">
        <v>251</v>
      </c>
      <c r="AD111" s="479"/>
      <c r="AE111" s="479"/>
    </row>
    <row r="112" ht="35" spans="1:31">
      <c r="A112" s="464"/>
      <c r="B112" s="20" t="s">
        <v>255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8" spans="1:31">
      <c r="A113" s="464">
        <v>90</v>
      </c>
      <c r="B113" s="11" t="s">
        <v>257</v>
      </c>
      <c r="C113" s="467">
        <v>48765.3333333321</v>
      </c>
      <c r="G113" s="468"/>
      <c r="U113" s="467"/>
      <c r="AC113" s="479"/>
      <c r="AD113" s="479"/>
      <c r="AE113" s="479"/>
    </row>
    <row r="114" ht="18" spans="1:31">
      <c r="A114" s="464">
        <v>91</v>
      </c>
      <c r="B114" s="11" t="s">
        <v>190</v>
      </c>
      <c r="C114" s="467"/>
      <c r="G114" s="468"/>
      <c r="U114" s="467"/>
      <c r="AC114" s="479"/>
      <c r="AD114" s="479"/>
      <c r="AE114" s="479"/>
    </row>
    <row r="115" ht="17.5" spans="1:31">
      <c r="A115" s="464">
        <v>92</v>
      </c>
      <c r="B115" s="20" t="s">
        <v>120</v>
      </c>
      <c r="C115" s="467">
        <v>48765.3333333321</v>
      </c>
      <c r="D115" s="466">
        <v>12</v>
      </c>
      <c r="E115" s="467">
        <f t="shared" ref="E115:E117" si="118">C115*D115</f>
        <v>585183.999999985</v>
      </c>
      <c r="F115" s="467"/>
      <c r="G115" s="468"/>
      <c r="H115" s="470"/>
      <c r="I115" s="467">
        <f t="shared" ref="I115:I117" si="119">E115-F115-G115-H115</f>
        <v>585183.999999985</v>
      </c>
      <c r="J115" s="467">
        <v>200000</v>
      </c>
      <c r="K115" s="467">
        <v>0.2</v>
      </c>
      <c r="L115" s="467">
        <f t="shared" ref="L115:L117" si="120">I115*K115</f>
        <v>117036.799999997</v>
      </c>
      <c r="M115" s="467">
        <f t="shared" ref="M115:M117" si="121">J115+L115</f>
        <v>317036.799999997</v>
      </c>
      <c r="N115" s="467">
        <f t="shared" ref="N115:N117" si="122">F115+G115+H115+M115</f>
        <v>317036.799999997</v>
      </c>
      <c r="O115" s="467">
        <f t="shared" ref="O115:O117" si="123">E115-N115</f>
        <v>268147.199999988</v>
      </c>
      <c r="P115" s="467">
        <f t="shared" ref="P115:P117" si="124">IF(O115&lt;300000,0.07*O115,21000)</f>
        <v>18770.3039999992</v>
      </c>
      <c r="Q115" s="467">
        <f t="shared" ref="Q115:Q117" si="125">IF((O115-300000)&lt;0,0,IF((O115-300000)&lt;300000,0.11*(O115-300000),33000))</f>
        <v>0</v>
      </c>
      <c r="R115" s="467">
        <f t="shared" ref="R115:R117" si="126">IF((O115-600000)&lt;0,0,IF((O115-600000)&lt;500000,0.15*(O115-600000),75000))</f>
        <v>0</v>
      </c>
      <c r="S115" s="467">
        <f t="shared" ref="S115:S117" si="127">IF((O115-1100000)&lt;0,0,IF((O115-1100000)&lt;500000,0.19*(O115-1100000),95000))</f>
        <v>0</v>
      </c>
      <c r="T115" s="467">
        <f t="shared" ref="T115:T117" si="128">IF((O115-1600000)&lt;0,0,IF((O115-1600000)&lt;1600000,0.21*(O115-1600000),336000))</f>
        <v>0</v>
      </c>
      <c r="U115" s="467"/>
      <c r="V115" s="467">
        <f t="shared" ref="V115:V117" si="129">P115+Q115+R115+S115+T115+U115</f>
        <v>18770.3039999992</v>
      </c>
      <c r="W115" s="474">
        <v>12</v>
      </c>
      <c r="X115" s="467">
        <f t="shared" ref="X115:X117" si="130">V115/W115</f>
        <v>1564.19199999993</v>
      </c>
      <c r="Y115" s="470"/>
      <c r="Z115" s="467">
        <f t="shared" ref="Z115:Z117" si="131">X115</f>
        <v>1564.19199999993</v>
      </c>
      <c r="AA115" s="479">
        <v>77610.1169066667</v>
      </c>
      <c r="AB115" s="479">
        <f t="shared" ref="AB115:AB117" si="132">Z115-AA115</f>
        <v>-76045.9249066668</v>
      </c>
      <c r="AC115" s="479"/>
      <c r="AD115" s="479"/>
      <c r="AE115" s="479"/>
    </row>
    <row r="116" ht="17.5" spans="1:31">
      <c r="A116" s="464">
        <v>93</v>
      </c>
      <c r="B116" s="20"/>
      <c r="C116" s="467"/>
      <c r="D116" s="467"/>
      <c r="E116" s="466"/>
      <c r="F116" s="467"/>
      <c r="G116" s="467"/>
      <c r="H116" s="470"/>
      <c r="I116" s="470"/>
      <c r="J116" s="467"/>
      <c r="K116" s="467"/>
      <c r="L116" s="467"/>
      <c r="M116" s="467"/>
      <c r="N116" s="467"/>
      <c r="O116" s="467"/>
      <c r="P116" s="467"/>
      <c r="Q116" s="467"/>
      <c r="R116" s="467"/>
      <c r="S116" s="467"/>
      <c r="T116" s="467"/>
      <c r="U116" s="467"/>
      <c r="V116" s="467"/>
      <c r="W116" s="467"/>
      <c r="X116" s="474"/>
      <c r="Y116" s="467"/>
      <c r="Z116" s="470"/>
      <c r="AA116" s="467"/>
      <c r="AB116" s="479"/>
      <c r="AC116" s="479"/>
      <c r="AD116" s="479"/>
      <c r="AE116" s="479"/>
    </row>
    <row r="117" ht="17.5" spans="1:31">
      <c r="A117" s="464">
        <v>94</v>
      </c>
      <c r="B117" s="20" t="s">
        <v>267</v>
      </c>
      <c r="C117" s="473"/>
      <c r="D117" s="467"/>
      <c r="E117" s="466"/>
      <c r="F117" s="467"/>
      <c r="G117" s="467"/>
      <c r="H117" s="470"/>
      <c r="I117" s="470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  <c r="U117" s="467"/>
      <c r="V117" s="467"/>
      <c r="W117" s="467"/>
      <c r="X117" s="474"/>
      <c r="Y117" s="467"/>
      <c r="Z117" s="470"/>
      <c r="AA117" s="467"/>
      <c r="AB117" s="479"/>
      <c r="AC117" s="479"/>
      <c r="AD117" s="479"/>
      <c r="AE117" s="479"/>
    </row>
    <row r="118" ht="18" spans="1:31">
      <c r="A118" s="464">
        <v>95</v>
      </c>
      <c r="B118" s="14" t="s">
        <v>930</v>
      </c>
      <c r="C118" s="467">
        <v>24688.666666668</v>
      </c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8" spans="1:31">
      <c r="A119" s="464">
        <v>96</v>
      </c>
      <c r="B119" s="11" t="s">
        <v>272</v>
      </c>
      <c r="C119" s="467">
        <v>24688.666666668</v>
      </c>
      <c r="U119" s="480"/>
      <c r="AC119" s="479"/>
      <c r="AD119" s="479"/>
      <c r="AE119" s="479"/>
    </row>
    <row r="120" ht="18" spans="1:31">
      <c r="A120" s="464">
        <v>97</v>
      </c>
      <c r="B120" s="11" t="s">
        <v>277</v>
      </c>
      <c r="C120" s="467">
        <v>24688.666666668</v>
      </c>
      <c r="U120" s="480"/>
      <c r="AC120" s="479"/>
      <c r="AD120" s="479"/>
      <c r="AE120" s="479"/>
    </row>
    <row r="121" ht="17.5" spans="1:31">
      <c r="A121" s="464">
        <v>98</v>
      </c>
      <c r="B121" s="20" t="s">
        <v>120</v>
      </c>
      <c r="C121" s="467"/>
      <c r="D121" s="466"/>
      <c r="E121" s="467"/>
      <c r="F121" s="467"/>
      <c r="G121" s="470"/>
      <c r="H121" s="470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  <c r="U121" s="467"/>
      <c r="V121" s="467"/>
      <c r="W121" s="474"/>
      <c r="X121" s="467"/>
      <c r="Y121" s="470"/>
      <c r="Z121" s="467"/>
      <c r="AA121" s="479"/>
      <c r="AB121" s="479">
        <f t="shared" ref="AB121:AB130" si="133">Z121-AA121</f>
        <v>0</v>
      </c>
      <c r="AC121" s="479"/>
      <c r="AD121" s="479"/>
      <c r="AE121" s="479"/>
    </row>
    <row r="122" ht="17.5" spans="1:31">
      <c r="A122" s="464">
        <v>99</v>
      </c>
      <c r="B122" s="20"/>
      <c r="C122" s="467"/>
      <c r="D122" s="466"/>
      <c r="E122" s="467"/>
      <c r="F122" s="467"/>
      <c r="G122" s="470"/>
      <c r="H122" s="470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  <c r="U122" s="467"/>
      <c r="V122" s="467"/>
      <c r="W122" s="474"/>
      <c r="X122" s="467"/>
      <c r="Y122" s="470"/>
      <c r="Z122" s="467"/>
      <c r="AA122" s="479"/>
      <c r="AB122" s="479">
        <f t="shared" si="133"/>
        <v>0</v>
      </c>
      <c r="AC122" s="479"/>
      <c r="AD122" s="479"/>
      <c r="AE122" s="479"/>
    </row>
    <row r="123" ht="17.5" spans="1:31">
      <c r="A123" s="464"/>
      <c r="B123" s="20" t="s">
        <v>279</v>
      </c>
      <c r="C123" s="467"/>
      <c r="D123" s="466"/>
      <c r="E123" s="467"/>
      <c r="F123" s="467"/>
      <c r="G123" s="470"/>
      <c r="H123" s="470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  <c r="U123" s="467"/>
      <c r="V123" s="467"/>
      <c r="W123" s="474"/>
      <c r="X123" s="467"/>
      <c r="Y123" s="470"/>
      <c r="Z123" s="467"/>
      <c r="AA123" s="479"/>
      <c r="AB123" s="479">
        <f t="shared" si="133"/>
        <v>0</v>
      </c>
      <c r="AC123" s="479"/>
      <c r="AD123" s="479"/>
      <c r="AE123" s="479"/>
    </row>
    <row r="124" ht="18" spans="1:31">
      <c r="A124" s="464"/>
      <c r="B124" s="11" t="s">
        <v>280</v>
      </c>
      <c r="C124" s="467"/>
      <c r="D124" s="466"/>
      <c r="E124" s="467"/>
      <c r="F124" s="467"/>
      <c r="G124" s="470"/>
      <c r="H124" s="470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  <c r="U124" s="467"/>
      <c r="V124" s="467"/>
      <c r="W124" s="474"/>
      <c r="X124" s="467"/>
      <c r="Y124" s="470"/>
      <c r="Z124" s="467"/>
      <c r="AA124" s="479"/>
      <c r="AB124" s="479">
        <f t="shared" si="133"/>
        <v>0</v>
      </c>
      <c r="AC124" s="479"/>
      <c r="AD124" s="479"/>
      <c r="AE124" s="479"/>
    </row>
    <row r="125" ht="18" spans="1:31">
      <c r="A125" s="464">
        <v>101</v>
      </c>
      <c r="B125" s="11" t="s">
        <v>282</v>
      </c>
      <c r="C125" s="467">
        <v>92678.3333333358</v>
      </c>
      <c r="D125" s="466">
        <v>12</v>
      </c>
      <c r="E125" s="467">
        <f t="shared" ref="E121:E133" si="134">C125*D125</f>
        <v>1112140.00000003</v>
      </c>
      <c r="F125" s="467"/>
      <c r="G125" s="468"/>
      <c r="H125" s="470"/>
      <c r="I125" s="467">
        <f t="shared" ref="I121:I133" si="135">E125-F125-G125-H125</f>
        <v>1112140.00000003</v>
      </c>
      <c r="J125" s="467">
        <v>200000</v>
      </c>
      <c r="K125" s="467">
        <v>0.2</v>
      </c>
      <c r="L125" s="467">
        <f t="shared" ref="L121:L133" si="136">I125*K125</f>
        <v>222428.000000006</v>
      </c>
      <c r="M125" s="467">
        <f t="shared" ref="M121:M133" si="137">J125+L125</f>
        <v>422428.000000006</v>
      </c>
      <c r="N125" s="467">
        <f t="shared" ref="N121:N133" si="138">F125+G125+H125+M125</f>
        <v>422428.000000006</v>
      </c>
      <c r="O125" s="467">
        <f t="shared" ref="O121:O133" si="139">E125-N125</f>
        <v>689712.000000024</v>
      </c>
      <c r="P125" s="467">
        <f t="shared" ref="P121:P133" si="140">IF(O125&lt;300000,0.07*O125,21000)</f>
        <v>21000</v>
      </c>
      <c r="Q125" s="467">
        <f t="shared" ref="Q121:Q133" si="141">IF((O125-300000)&lt;0,0,IF((O125-300000)&lt;300000,0.11*(O125-300000),33000))</f>
        <v>33000</v>
      </c>
      <c r="R125" s="467">
        <f t="shared" ref="R121:R133" si="142">IF((O125-600000)&lt;0,0,IF((O125-600000)&lt;500000,0.15*(O125-600000),75000))</f>
        <v>13456.8000000036</v>
      </c>
      <c r="S125" s="467">
        <f t="shared" ref="S121:S133" si="143">IF((O125-1100000)&lt;0,0,IF((O125-1100000)&lt;500000,0.19*(O125-1100000),95000))</f>
        <v>0</v>
      </c>
      <c r="T125" s="467">
        <f t="shared" ref="T121:T133" si="144">IF((O125-1600000)&lt;0,0,IF((O125-1600000)&lt;1600000,0.21*(O125-1600000),336000))</f>
        <v>0</v>
      </c>
      <c r="U125" s="467"/>
      <c r="V125" s="467">
        <f t="shared" ref="V121:V133" si="145">P125+Q125+R125+S125+T125+U125</f>
        <v>67456.8000000036</v>
      </c>
      <c r="W125" s="474">
        <v>12</v>
      </c>
      <c r="X125" s="467">
        <f t="shared" ref="X121:X133" si="146">V125/W125</f>
        <v>5621.4000000003</v>
      </c>
      <c r="Y125" s="470"/>
      <c r="Z125" s="467">
        <f t="shared" ref="Z121:Z133" si="147">X125</f>
        <v>5621.4000000003</v>
      </c>
      <c r="AA125" s="479">
        <v>44846.6165886667</v>
      </c>
      <c r="AB125" s="479">
        <f t="shared" si="133"/>
        <v>-39225.2165886664</v>
      </c>
      <c r="AC125" s="479"/>
      <c r="AD125" s="479"/>
      <c r="AE125" s="479"/>
    </row>
    <row r="126" ht="18" spans="1:31">
      <c r="A126" s="464">
        <v>103</v>
      </c>
      <c r="B126" s="14" t="s">
        <v>284</v>
      </c>
      <c r="C126" s="467">
        <v>0</v>
      </c>
      <c r="D126" s="466">
        <v>12</v>
      </c>
      <c r="E126" s="467">
        <f t="shared" si="134"/>
        <v>0</v>
      </c>
      <c r="F126" s="473"/>
      <c r="G126" s="468"/>
      <c r="H126" s="470"/>
      <c r="I126" s="467">
        <f t="shared" si="135"/>
        <v>0</v>
      </c>
      <c r="J126" s="467">
        <v>200000</v>
      </c>
      <c r="K126" s="467">
        <v>0.2</v>
      </c>
      <c r="L126" s="467">
        <f t="shared" si="136"/>
        <v>0</v>
      </c>
      <c r="M126" s="467">
        <f t="shared" si="137"/>
        <v>200000</v>
      </c>
      <c r="N126" s="467">
        <f t="shared" si="138"/>
        <v>200000</v>
      </c>
      <c r="O126" s="467">
        <f t="shared" si="139"/>
        <v>-200000</v>
      </c>
      <c r="P126" s="467">
        <f t="shared" si="140"/>
        <v>-14000</v>
      </c>
      <c r="Q126" s="467">
        <f t="shared" si="141"/>
        <v>0</v>
      </c>
      <c r="R126" s="467">
        <f t="shared" si="142"/>
        <v>0</v>
      </c>
      <c r="S126" s="467">
        <f t="shared" si="143"/>
        <v>0</v>
      </c>
      <c r="T126" s="467">
        <f t="shared" si="144"/>
        <v>0</v>
      </c>
      <c r="U126" s="467"/>
      <c r="V126" s="467">
        <f t="shared" si="145"/>
        <v>-14000</v>
      </c>
      <c r="W126" s="474">
        <v>12</v>
      </c>
      <c r="X126" s="467">
        <f t="shared" si="146"/>
        <v>-1166.66666666667</v>
      </c>
      <c r="Y126" s="470"/>
      <c r="Z126" s="467">
        <f t="shared" si="147"/>
        <v>-1166.66666666667</v>
      </c>
      <c r="AA126" s="479">
        <v>42029.5891866667</v>
      </c>
      <c r="AB126" s="479">
        <f t="shared" si="133"/>
        <v>-43196.2558533334</v>
      </c>
      <c r="AC126" s="479"/>
      <c r="AD126" s="479"/>
      <c r="AE126" s="479"/>
    </row>
    <row r="127" ht="18" spans="1:31">
      <c r="A127" s="464">
        <v>105</v>
      </c>
      <c r="B127" s="11" t="s">
        <v>287</v>
      </c>
      <c r="C127" s="467">
        <v>55503</v>
      </c>
      <c r="D127" s="466">
        <v>12</v>
      </c>
      <c r="E127" s="467">
        <f t="shared" si="134"/>
        <v>666036</v>
      </c>
      <c r="F127" s="473"/>
      <c r="G127" s="468"/>
      <c r="H127" s="470"/>
      <c r="I127" s="467">
        <f t="shared" si="135"/>
        <v>666036</v>
      </c>
      <c r="J127" s="467">
        <v>200000</v>
      </c>
      <c r="K127" s="467">
        <v>0.2</v>
      </c>
      <c r="L127" s="467">
        <f t="shared" si="136"/>
        <v>133207.2</v>
      </c>
      <c r="M127" s="467">
        <f t="shared" si="137"/>
        <v>333207.2</v>
      </c>
      <c r="N127" s="467">
        <f t="shared" si="138"/>
        <v>333207.2</v>
      </c>
      <c r="O127" s="467">
        <f t="shared" si="139"/>
        <v>332828.8</v>
      </c>
      <c r="P127" s="467">
        <f t="shared" si="140"/>
        <v>21000</v>
      </c>
      <c r="Q127" s="467">
        <f t="shared" si="141"/>
        <v>3611.168</v>
      </c>
      <c r="R127" s="467">
        <f t="shared" si="142"/>
        <v>0</v>
      </c>
      <c r="S127" s="467">
        <f t="shared" si="143"/>
        <v>0</v>
      </c>
      <c r="T127" s="467">
        <f t="shared" si="144"/>
        <v>0</v>
      </c>
      <c r="U127" s="467"/>
      <c r="V127" s="467">
        <f t="shared" si="145"/>
        <v>24611.168</v>
      </c>
      <c r="W127" s="474">
        <v>12</v>
      </c>
      <c r="X127" s="467">
        <f t="shared" si="146"/>
        <v>2050.93066666667</v>
      </c>
      <c r="Y127" s="470"/>
      <c r="Z127" s="467">
        <f t="shared" si="147"/>
        <v>2050.93066666667</v>
      </c>
      <c r="AA127" s="479">
        <v>43380.0962466667</v>
      </c>
      <c r="AB127" s="479">
        <f t="shared" si="133"/>
        <v>-41329.16558</v>
      </c>
      <c r="AC127" s="479"/>
      <c r="AD127" s="479"/>
      <c r="AE127" s="479"/>
    </row>
    <row r="128" ht="18" spans="1:31">
      <c r="A128" s="464">
        <v>106</v>
      </c>
      <c r="B128" s="11" t="s">
        <v>288</v>
      </c>
      <c r="C128" s="467">
        <v>55503</v>
      </c>
      <c r="D128" s="466">
        <v>12</v>
      </c>
      <c r="E128" s="467">
        <f t="shared" si="134"/>
        <v>666036</v>
      </c>
      <c r="F128" s="467"/>
      <c r="G128" s="468"/>
      <c r="H128" s="470"/>
      <c r="I128" s="467">
        <f t="shared" si="135"/>
        <v>666036</v>
      </c>
      <c r="J128" s="467">
        <v>200000</v>
      </c>
      <c r="K128" s="467">
        <v>0.2</v>
      </c>
      <c r="L128" s="467">
        <f t="shared" si="136"/>
        <v>133207.2</v>
      </c>
      <c r="M128" s="467">
        <f t="shared" si="137"/>
        <v>333207.2</v>
      </c>
      <c r="N128" s="467">
        <f t="shared" si="138"/>
        <v>333207.2</v>
      </c>
      <c r="O128" s="467">
        <f t="shared" si="139"/>
        <v>332828.8</v>
      </c>
      <c r="P128" s="467">
        <f t="shared" si="140"/>
        <v>21000</v>
      </c>
      <c r="Q128" s="467">
        <f t="shared" si="141"/>
        <v>3611.168</v>
      </c>
      <c r="R128" s="467">
        <f t="shared" si="142"/>
        <v>0</v>
      </c>
      <c r="S128" s="467">
        <f t="shared" si="143"/>
        <v>0</v>
      </c>
      <c r="T128" s="467">
        <f t="shared" si="144"/>
        <v>0</v>
      </c>
      <c r="U128" s="467"/>
      <c r="V128" s="467">
        <f t="shared" si="145"/>
        <v>24611.168</v>
      </c>
      <c r="W128" s="474">
        <v>12</v>
      </c>
      <c r="X128" s="467">
        <f t="shared" si="146"/>
        <v>2050.93066666667</v>
      </c>
      <c r="Y128" s="470"/>
      <c r="Z128" s="467">
        <f t="shared" si="147"/>
        <v>2050.93066666667</v>
      </c>
      <c r="AA128" s="479">
        <v>23036.0123466667</v>
      </c>
      <c r="AB128" s="479">
        <f t="shared" si="133"/>
        <v>-20985.08168</v>
      </c>
      <c r="AC128" s="479"/>
      <c r="AD128" s="479"/>
      <c r="AE128" s="479"/>
    </row>
    <row r="129" ht="18" spans="1:31">
      <c r="A129" s="464">
        <v>107</v>
      </c>
      <c r="B129" s="11" t="s">
        <v>290</v>
      </c>
      <c r="C129" s="467">
        <v>55503</v>
      </c>
      <c r="D129" s="466">
        <v>12</v>
      </c>
      <c r="E129" s="467">
        <f t="shared" si="134"/>
        <v>666036</v>
      </c>
      <c r="F129" s="467"/>
      <c r="G129" s="468"/>
      <c r="H129" s="470"/>
      <c r="I129" s="467">
        <f t="shared" si="135"/>
        <v>666036</v>
      </c>
      <c r="J129" s="467">
        <v>200000</v>
      </c>
      <c r="K129" s="467">
        <v>0.2</v>
      </c>
      <c r="L129" s="467">
        <f t="shared" si="136"/>
        <v>133207.2</v>
      </c>
      <c r="M129" s="467">
        <f t="shared" si="137"/>
        <v>333207.2</v>
      </c>
      <c r="N129" s="467">
        <f t="shared" si="138"/>
        <v>333207.2</v>
      </c>
      <c r="O129" s="467">
        <f t="shared" si="139"/>
        <v>332828.8</v>
      </c>
      <c r="P129" s="467">
        <f t="shared" si="140"/>
        <v>21000</v>
      </c>
      <c r="Q129" s="467">
        <f t="shared" si="141"/>
        <v>3611.168</v>
      </c>
      <c r="R129" s="467">
        <f t="shared" si="142"/>
        <v>0</v>
      </c>
      <c r="S129" s="467">
        <f t="shared" si="143"/>
        <v>0</v>
      </c>
      <c r="T129" s="467">
        <f t="shared" si="144"/>
        <v>0</v>
      </c>
      <c r="U129" s="467"/>
      <c r="V129" s="467">
        <f t="shared" si="145"/>
        <v>24611.168</v>
      </c>
      <c r="W129" s="474">
        <v>12</v>
      </c>
      <c r="X129" s="467">
        <f t="shared" si="146"/>
        <v>2050.93066666667</v>
      </c>
      <c r="Y129" s="470"/>
      <c r="Z129" s="467">
        <f t="shared" si="147"/>
        <v>2050.93066666667</v>
      </c>
      <c r="AA129" s="479">
        <v>17042.7138666667</v>
      </c>
      <c r="AB129" s="479">
        <f t="shared" si="133"/>
        <v>-14991.7832</v>
      </c>
      <c r="AC129" s="479"/>
      <c r="AD129" s="479"/>
      <c r="AE129" s="479"/>
    </row>
    <row r="130" ht="18" spans="1:31">
      <c r="A130" s="464">
        <v>108</v>
      </c>
      <c r="B130" s="11" t="s">
        <v>293</v>
      </c>
      <c r="C130" s="467">
        <v>29265.3333333321</v>
      </c>
      <c r="D130" s="466">
        <v>12</v>
      </c>
      <c r="E130" s="467">
        <f t="shared" si="134"/>
        <v>351183.999999985</v>
      </c>
      <c r="F130" s="467"/>
      <c r="G130" s="468"/>
      <c r="H130" s="470"/>
      <c r="I130" s="467">
        <f t="shared" si="135"/>
        <v>351183.999999985</v>
      </c>
      <c r="J130" s="467">
        <v>200000</v>
      </c>
      <c r="K130" s="467">
        <v>0.2</v>
      </c>
      <c r="L130" s="467">
        <f t="shared" si="136"/>
        <v>70236.799999997</v>
      </c>
      <c r="M130" s="467">
        <f t="shared" si="137"/>
        <v>270236.799999997</v>
      </c>
      <c r="N130" s="467">
        <f t="shared" si="138"/>
        <v>270236.799999997</v>
      </c>
      <c r="O130" s="467">
        <f t="shared" si="139"/>
        <v>80947.1999999881</v>
      </c>
      <c r="P130" s="467">
        <f t="shared" si="140"/>
        <v>5666.30399999917</v>
      </c>
      <c r="Q130" s="467">
        <f t="shared" si="141"/>
        <v>0</v>
      </c>
      <c r="R130" s="467">
        <f t="shared" si="142"/>
        <v>0</v>
      </c>
      <c r="S130" s="467">
        <f t="shared" si="143"/>
        <v>0</v>
      </c>
      <c r="T130" s="467">
        <f t="shared" si="144"/>
        <v>0</v>
      </c>
      <c r="U130" s="467"/>
      <c r="V130" s="467">
        <f t="shared" si="145"/>
        <v>5666.30399999917</v>
      </c>
      <c r="W130" s="474">
        <v>12</v>
      </c>
      <c r="X130" s="467">
        <f t="shared" si="146"/>
        <v>472.19199999993</v>
      </c>
      <c r="Y130" s="470"/>
      <c r="Z130" s="467">
        <f t="shared" si="147"/>
        <v>472.19199999993</v>
      </c>
      <c r="AA130" s="479">
        <v>17042.7138666667</v>
      </c>
      <c r="AB130" s="479">
        <f t="shared" si="133"/>
        <v>-16570.5218666668</v>
      </c>
      <c r="AC130" s="479"/>
      <c r="AD130" s="479"/>
      <c r="AE130" s="479"/>
    </row>
    <row r="131" ht="18" spans="1:31">
      <c r="A131" s="464">
        <v>109</v>
      </c>
      <c r="B131" s="18" t="s">
        <v>295</v>
      </c>
      <c r="C131" s="467">
        <v>24688.666666668</v>
      </c>
      <c r="D131" s="466">
        <v>12</v>
      </c>
      <c r="E131" s="467">
        <f t="shared" si="134"/>
        <v>296264.000000016</v>
      </c>
      <c r="F131" s="467"/>
      <c r="G131" s="468"/>
      <c r="H131" s="470"/>
      <c r="I131" s="467">
        <f t="shared" si="135"/>
        <v>296264.000000016</v>
      </c>
      <c r="J131" s="467">
        <v>200000</v>
      </c>
      <c r="K131" s="467">
        <v>0.2</v>
      </c>
      <c r="L131" s="467">
        <f t="shared" si="136"/>
        <v>59252.8000000033</v>
      </c>
      <c r="M131" s="467">
        <f t="shared" si="137"/>
        <v>259252.800000003</v>
      </c>
      <c r="N131" s="467">
        <f t="shared" si="138"/>
        <v>259252.800000003</v>
      </c>
      <c r="O131" s="467">
        <f t="shared" si="139"/>
        <v>37011.2000000131</v>
      </c>
      <c r="P131" s="467">
        <f t="shared" si="140"/>
        <v>2590.78400000091</v>
      </c>
      <c r="Q131" s="467">
        <f t="shared" si="141"/>
        <v>0</v>
      </c>
      <c r="R131" s="467">
        <f t="shared" si="142"/>
        <v>0</v>
      </c>
      <c r="S131" s="467">
        <f t="shared" si="143"/>
        <v>0</v>
      </c>
      <c r="T131" s="467">
        <f t="shared" si="144"/>
        <v>0</v>
      </c>
      <c r="U131" s="467"/>
      <c r="V131" s="467">
        <f t="shared" si="145"/>
        <v>2590.78400000091</v>
      </c>
      <c r="W131" s="474">
        <v>12</v>
      </c>
      <c r="X131" s="467">
        <f t="shared" si="146"/>
        <v>215.898666666743</v>
      </c>
      <c r="Y131" s="470"/>
      <c r="Z131" s="467">
        <f t="shared" si="147"/>
        <v>215.898666666743</v>
      </c>
      <c r="AA131" s="479">
        <v>17042.7138666667</v>
      </c>
      <c r="AB131" s="479"/>
      <c r="AC131" s="479"/>
      <c r="AD131" s="479"/>
      <c r="AE131" s="479"/>
    </row>
    <row r="132" ht="18" spans="1:31">
      <c r="A132" s="464">
        <v>110</v>
      </c>
      <c r="B132" s="18" t="s">
        <v>297</v>
      </c>
      <c r="C132" s="467">
        <v>24688.666666668</v>
      </c>
      <c r="D132" s="466">
        <v>12</v>
      </c>
      <c r="E132" s="467">
        <f t="shared" si="134"/>
        <v>296264.000000016</v>
      </c>
      <c r="F132" s="467"/>
      <c r="G132" s="468"/>
      <c r="H132" s="470"/>
      <c r="I132" s="467">
        <f t="shared" si="135"/>
        <v>296264.000000016</v>
      </c>
      <c r="J132" s="467">
        <v>200000</v>
      </c>
      <c r="K132" s="467">
        <v>0.2</v>
      </c>
      <c r="L132" s="467">
        <f t="shared" si="136"/>
        <v>59252.8000000033</v>
      </c>
      <c r="M132" s="467">
        <f t="shared" si="137"/>
        <v>259252.800000003</v>
      </c>
      <c r="N132" s="467">
        <f t="shared" si="138"/>
        <v>259252.800000003</v>
      </c>
      <c r="O132" s="467">
        <f t="shared" si="139"/>
        <v>37011.2000000131</v>
      </c>
      <c r="P132" s="467">
        <f t="shared" si="140"/>
        <v>2590.78400000091</v>
      </c>
      <c r="Q132" s="467">
        <f t="shared" si="141"/>
        <v>0</v>
      </c>
      <c r="R132" s="467">
        <f t="shared" si="142"/>
        <v>0</v>
      </c>
      <c r="S132" s="467">
        <f t="shared" si="143"/>
        <v>0</v>
      </c>
      <c r="T132" s="467">
        <f t="shared" si="144"/>
        <v>0</v>
      </c>
      <c r="U132" s="467"/>
      <c r="V132" s="467">
        <f t="shared" si="145"/>
        <v>2590.78400000091</v>
      </c>
      <c r="W132" s="474">
        <v>12</v>
      </c>
      <c r="X132" s="467">
        <f t="shared" si="146"/>
        <v>215.898666666743</v>
      </c>
      <c r="Y132" s="470"/>
      <c r="Z132" s="467">
        <f t="shared" si="147"/>
        <v>215.898666666743</v>
      </c>
      <c r="AA132" s="479">
        <v>17042.7138666667</v>
      </c>
      <c r="AC132" s="479"/>
      <c r="AD132" s="479"/>
      <c r="AE132" s="479"/>
    </row>
    <row r="133" ht="18" spans="1:31">
      <c r="A133" s="464">
        <v>111</v>
      </c>
      <c r="B133" s="18" t="s">
        <v>298</v>
      </c>
      <c r="C133" s="467">
        <v>24688.666666668</v>
      </c>
      <c r="D133" s="466">
        <v>12</v>
      </c>
      <c r="E133" s="467">
        <f t="shared" si="134"/>
        <v>296264.000000016</v>
      </c>
      <c r="F133" s="467"/>
      <c r="G133" s="468"/>
      <c r="H133" s="470"/>
      <c r="I133" s="467">
        <f t="shared" si="135"/>
        <v>296264.000000016</v>
      </c>
      <c r="J133" s="467">
        <v>200000</v>
      </c>
      <c r="K133" s="467">
        <v>0.2</v>
      </c>
      <c r="L133" s="467">
        <f t="shared" si="136"/>
        <v>59252.8000000033</v>
      </c>
      <c r="M133" s="467">
        <f t="shared" si="137"/>
        <v>259252.800000003</v>
      </c>
      <c r="N133" s="467">
        <f t="shared" si="138"/>
        <v>259252.800000003</v>
      </c>
      <c r="O133" s="467">
        <f t="shared" si="139"/>
        <v>37011.2000000131</v>
      </c>
      <c r="P133" s="467">
        <f t="shared" si="140"/>
        <v>2590.78400000091</v>
      </c>
      <c r="Q133" s="467">
        <f t="shared" si="141"/>
        <v>0</v>
      </c>
      <c r="R133" s="467">
        <f t="shared" si="142"/>
        <v>0</v>
      </c>
      <c r="S133" s="467">
        <f t="shared" si="143"/>
        <v>0</v>
      </c>
      <c r="T133" s="467">
        <f t="shared" si="144"/>
        <v>0</v>
      </c>
      <c r="U133" s="467"/>
      <c r="V133" s="467">
        <f t="shared" si="145"/>
        <v>2590.78400000091</v>
      </c>
      <c r="W133" s="474">
        <v>12</v>
      </c>
      <c r="X133" s="467">
        <f t="shared" si="146"/>
        <v>215.898666666743</v>
      </c>
      <c r="Y133" s="470"/>
      <c r="Z133" s="467">
        <f t="shared" si="147"/>
        <v>215.898666666743</v>
      </c>
      <c r="AA133" s="479">
        <v>17042.7138666667</v>
      </c>
      <c r="AC133" s="479"/>
      <c r="AD133" s="479"/>
      <c r="AE133" s="479"/>
    </row>
    <row r="134" ht="17.5" spans="1:31">
      <c r="A134" s="464">
        <v>112</v>
      </c>
      <c r="B134" s="20" t="s">
        <v>120</v>
      </c>
      <c r="C134" s="467"/>
      <c r="D134" s="466"/>
      <c r="E134" s="467"/>
      <c r="F134" s="467"/>
      <c r="G134" s="470"/>
      <c r="H134" s="470"/>
      <c r="I134" s="467"/>
      <c r="J134" s="467"/>
      <c r="K134" s="467"/>
      <c r="L134" s="467"/>
      <c r="M134" s="467"/>
      <c r="N134" s="467"/>
      <c r="O134" s="467"/>
      <c r="P134" s="467"/>
      <c r="Q134" s="467"/>
      <c r="R134" s="467"/>
      <c r="S134" s="467"/>
      <c r="T134" s="467"/>
      <c r="U134" s="467"/>
      <c r="V134" s="467"/>
      <c r="W134" s="474"/>
      <c r="X134" s="467"/>
      <c r="Y134" s="470"/>
      <c r="Z134" s="467"/>
      <c r="AA134" s="479"/>
      <c r="AB134" s="479">
        <f t="shared" ref="AB134:AB197" si="148">Z134-AA134</f>
        <v>0</v>
      </c>
      <c r="AC134" s="479"/>
      <c r="AD134" s="479"/>
      <c r="AE134" s="479"/>
    </row>
    <row r="135" ht="17.5" spans="1:31">
      <c r="A135" s="464">
        <v>113</v>
      </c>
      <c r="B135" s="22"/>
      <c r="C135" s="467"/>
      <c r="D135" s="466"/>
      <c r="E135" s="467"/>
      <c r="F135" s="467"/>
      <c r="G135" s="470"/>
      <c r="H135" s="470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74"/>
      <c r="X135" s="467"/>
      <c r="Y135" s="470"/>
      <c r="Z135" s="467"/>
      <c r="AA135" s="479"/>
      <c r="AB135" s="479">
        <f t="shared" si="148"/>
        <v>0</v>
      </c>
      <c r="AC135" s="479"/>
      <c r="AD135" s="479"/>
      <c r="AE135" s="479"/>
    </row>
    <row r="136" ht="17.5" spans="1:31">
      <c r="A136" s="464">
        <v>114</v>
      </c>
      <c r="B136" s="20" t="s">
        <v>300</v>
      </c>
      <c r="C136" s="467"/>
      <c r="D136" s="466"/>
      <c r="E136" s="467"/>
      <c r="F136" s="467"/>
      <c r="G136" s="470"/>
      <c r="H136" s="470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/>
      <c r="T136" s="467"/>
      <c r="U136" s="467"/>
      <c r="V136" s="467"/>
      <c r="W136" s="474"/>
      <c r="X136" s="467"/>
      <c r="Y136" s="470"/>
      <c r="Z136" s="467"/>
      <c r="AA136" s="479"/>
      <c r="AB136" s="479">
        <f t="shared" si="148"/>
        <v>0</v>
      </c>
      <c r="AC136" s="479"/>
      <c r="AD136" s="479"/>
      <c r="AE136" s="479"/>
    </row>
    <row r="137" ht="18" spans="1:31">
      <c r="A137" s="464">
        <v>115</v>
      </c>
      <c r="B137" s="11" t="s">
        <v>856</v>
      </c>
      <c r="C137" s="467"/>
      <c r="D137" s="466"/>
      <c r="E137" s="467"/>
      <c r="F137" s="467"/>
      <c r="G137" s="470"/>
      <c r="H137" s="470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467"/>
      <c r="T137" s="467"/>
      <c r="U137" s="467"/>
      <c r="V137" s="467"/>
      <c r="W137" s="474"/>
      <c r="X137" s="467"/>
      <c r="Y137" s="470"/>
      <c r="Z137" s="467"/>
      <c r="AA137" s="479"/>
      <c r="AB137" s="479">
        <f t="shared" si="148"/>
        <v>0</v>
      </c>
      <c r="AC137" s="479"/>
      <c r="AD137" s="479"/>
      <c r="AE137" s="479"/>
    </row>
    <row r="138" ht="18" spans="1:31">
      <c r="A138" s="464">
        <v>116</v>
      </c>
      <c r="B138" s="14" t="s">
        <v>301</v>
      </c>
      <c r="C138" s="467"/>
      <c r="D138" s="466"/>
      <c r="E138" s="467"/>
      <c r="F138" s="467"/>
      <c r="G138" s="470"/>
      <c r="H138" s="470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/>
      <c r="T138" s="467"/>
      <c r="U138" s="467"/>
      <c r="V138" s="467"/>
      <c r="W138" s="474"/>
      <c r="X138" s="467"/>
      <c r="Y138" s="470"/>
      <c r="Z138" s="467"/>
      <c r="AA138" s="479"/>
      <c r="AB138" s="479">
        <f t="shared" si="148"/>
        <v>0</v>
      </c>
      <c r="AC138" s="479"/>
      <c r="AD138" s="479"/>
      <c r="AE138" s="479"/>
    </row>
    <row r="139" ht="18" spans="1:31">
      <c r="A139" s="464">
        <v>117</v>
      </c>
      <c r="B139" s="14" t="s">
        <v>304</v>
      </c>
      <c r="C139" s="467"/>
      <c r="D139" s="466"/>
      <c r="E139" s="467"/>
      <c r="F139" s="467"/>
      <c r="G139" s="470"/>
      <c r="H139" s="470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74"/>
      <c r="X139" s="467"/>
      <c r="Y139" s="470"/>
      <c r="Z139" s="467"/>
      <c r="AA139" s="479"/>
      <c r="AB139" s="479">
        <f t="shared" si="148"/>
        <v>0</v>
      </c>
      <c r="AC139" s="479"/>
      <c r="AD139" s="479"/>
      <c r="AE139" s="479"/>
    </row>
    <row r="140" ht="18" spans="1:31">
      <c r="A140" s="464">
        <v>118</v>
      </c>
      <c r="B140" s="11" t="s">
        <v>306</v>
      </c>
      <c r="C140" s="467"/>
      <c r="D140" s="466"/>
      <c r="E140" s="467"/>
      <c r="F140" s="467"/>
      <c r="G140" s="470"/>
      <c r="H140" s="470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74"/>
      <c r="X140" s="467"/>
      <c r="Y140" s="470"/>
      <c r="Z140" s="467"/>
      <c r="AA140" s="479"/>
      <c r="AB140" s="479">
        <f t="shared" si="148"/>
        <v>0</v>
      </c>
      <c r="AC140" s="479"/>
      <c r="AD140" s="479"/>
      <c r="AE140" s="479"/>
    </row>
    <row r="141" ht="18" spans="1:31">
      <c r="A141" s="464">
        <v>119</v>
      </c>
      <c r="B141" s="11" t="s">
        <v>308</v>
      </c>
      <c r="C141" s="467"/>
      <c r="D141" s="466"/>
      <c r="E141" s="467"/>
      <c r="F141" s="467"/>
      <c r="G141" s="470"/>
      <c r="H141" s="470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74"/>
      <c r="X141" s="467"/>
      <c r="Y141" s="470"/>
      <c r="Z141" s="467"/>
      <c r="AA141" s="479"/>
      <c r="AB141" s="479">
        <f t="shared" si="148"/>
        <v>0</v>
      </c>
      <c r="AC141" s="479"/>
      <c r="AD141" s="479"/>
      <c r="AE141" s="479"/>
    </row>
    <row r="142" ht="18" spans="1:31">
      <c r="A142" s="464">
        <v>120</v>
      </c>
      <c r="B142" s="11" t="s">
        <v>310</v>
      </c>
      <c r="C142" s="467"/>
      <c r="D142" s="466"/>
      <c r="E142" s="467"/>
      <c r="F142" s="467"/>
      <c r="G142" s="470"/>
      <c r="H142" s="470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74"/>
      <c r="X142" s="467"/>
      <c r="Y142" s="470"/>
      <c r="Z142" s="467"/>
      <c r="AA142" s="479"/>
      <c r="AB142" s="479">
        <f t="shared" si="148"/>
        <v>0</v>
      </c>
      <c r="AC142" s="479"/>
      <c r="AD142" s="479"/>
      <c r="AE142" s="479"/>
    </row>
    <row r="143" ht="18" spans="1:31">
      <c r="A143" s="464">
        <v>121</v>
      </c>
      <c r="B143" s="11" t="s">
        <v>313</v>
      </c>
      <c r="C143" s="467"/>
      <c r="D143" s="466"/>
      <c r="E143" s="467"/>
      <c r="F143" s="467"/>
      <c r="G143" s="470"/>
      <c r="H143" s="470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74"/>
      <c r="X143" s="467"/>
      <c r="Y143" s="470"/>
      <c r="Z143" s="467"/>
      <c r="AA143" s="479"/>
      <c r="AB143" s="479">
        <f t="shared" si="148"/>
        <v>0</v>
      </c>
      <c r="AC143" s="479"/>
      <c r="AD143" s="479"/>
      <c r="AE143" s="479"/>
    </row>
    <row r="144" ht="18" spans="1:31">
      <c r="A144" s="464">
        <v>122</v>
      </c>
      <c r="B144" s="11" t="s">
        <v>314</v>
      </c>
      <c r="C144" s="467"/>
      <c r="D144" s="466"/>
      <c r="E144" s="467"/>
      <c r="F144" s="467"/>
      <c r="G144" s="470"/>
      <c r="H144" s="470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74"/>
      <c r="X144" s="467"/>
      <c r="Y144" s="470"/>
      <c r="Z144" s="467"/>
      <c r="AA144" s="479"/>
      <c r="AB144" s="479">
        <f t="shared" si="148"/>
        <v>0</v>
      </c>
      <c r="AC144" s="479"/>
      <c r="AD144" s="479"/>
      <c r="AE144" s="479"/>
    </row>
    <row r="145" ht="18" spans="1:31">
      <c r="A145" s="464">
        <v>123</v>
      </c>
      <c r="B145" s="11" t="s">
        <v>316</v>
      </c>
      <c r="C145" s="467">
        <v>48765.3333333321</v>
      </c>
      <c r="D145" s="466">
        <v>12</v>
      </c>
      <c r="E145" s="467">
        <f t="shared" ref="E134:E192" si="149">C145*D145</f>
        <v>585183.999999985</v>
      </c>
      <c r="F145" s="467"/>
      <c r="G145" s="468"/>
      <c r="H145" s="470"/>
      <c r="I145" s="467">
        <f t="shared" ref="I134:I192" si="150">E145-F145-G145-H145</f>
        <v>585183.999999985</v>
      </c>
      <c r="J145" s="467">
        <v>200000</v>
      </c>
      <c r="K145" s="467">
        <v>0.2</v>
      </c>
      <c r="L145" s="467">
        <f t="shared" ref="L134:L192" si="151">I145*K145</f>
        <v>117036.799999997</v>
      </c>
      <c r="M145" s="467">
        <f t="shared" ref="M134:M192" si="152">J145+L145</f>
        <v>317036.799999997</v>
      </c>
      <c r="N145" s="467">
        <f t="shared" ref="N134:N192" si="153">F145+G145+H145+M145</f>
        <v>317036.799999997</v>
      </c>
      <c r="O145" s="467">
        <f t="shared" ref="O134:O192" si="154">E145-N145</f>
        <v>268147.199999988</v>
      </c>
      <c r="P145" s="467">
        <f t="shared" ref="P134:P192" si="155">IF(O145&lt;300000,0.07*O145,21000)</f>
        <v>18770.3039999992</v>
      </c>
      <c r="Q145" s="467">
        <f t="shared" ref="Q134:Q192" si="156">IF((O145-300000)&lt;0,0,IF((O145-300000)&lt;300000,0.11*(O145-300000),33000))</f>
        <v>0</v>
      </c>
      <c r="R145" s="467">
        <f t="shared" ref="R134:R192" si="157">IF((O145-600000)&lt;0,0,IF((O145-600000)&lt;500000,0.15*(O145-600000),75000))</f>
        <v>0</v>
      </c>
      <c r="S145" s="467">
        <f t="shared" ref="S134:S192" si="158">IF((O145-1100000)&lt;0,0,IF((O145-1100000)&lt;500000,0.19*(O145-1100000),95000))</f>
        <v>0</v>
      </c>
      <c r="T145" s="467">
        <f t="shared" ref="T134:T192" si="159">IF((O145-1600000)&lt;0,0,IF((O145-1600000)&lt;1600000,0.21*(O145-1600000),336000))</f>
        <v>0</v>
      </c>
      <c r="U145" s="467"/>
      <c r="V145" s="467">
        <f t="shared" ref="V134:V192" si="160">P145+Q145+R145+S145+T145+U145</f>
        <v>18770.3039999992</v>
      </c>
      <c r="W145" s="474">
        <v>12</v>
      </c>
      <c r="X145" s="467">
        <f t="shared" ref="X134:X192" si="161">V145/W145</f>
        <v>1564.19199999993</v>
      </c>
      <c r="Y145" s="470"/>
      <c r="Z145" s="467">
        <f t="shared" ref="Z134:Z192" si="162">X145</f>
        <v>1564.19199999993</v>
      </c>
      <c r="AA145" s="479">
        <v>35221.9540866667</v>
      </c>
      <c r="AB145" s="479">
        <f t="shared" si="148"/>
        <v>-33657.7620866668</v>
      </c>
      <c r="AC145" s="479"/>
      <c r="AD145" s="479"/>
      <c r="AE145" s="479"/>
    </row>
    <row r="146" ht="18" spans="1:31">
      <c r="A146" s="464">
        <v>124</v>
      </c>
      <c r="B146" s="11" t="s">
        <v>318</v>
      </c>
      <c r="C146" s="467">
        <v>48765.3333333358</v>
      </c>
      <c r="D146" s="466">
        <v>12</v>
      </c>
      <c r="E146" s="467">
        <f t="shared" si="149"/>
        <v>585184.00000003</v>
      </c>
      <c r="F146" s="467"/>
      <c r="G146" s="468"/>
      <c r="H146" s="470"/>
      <c r="I146" s="467">
        <f t="shared" si="150"/>
        <v>585184.00000003</v>
      </c>
      <c r="J146" s="467">
        <v>200000</v>
      </c>
      <c r="K146" s="467">
        <v>0.2</v>
      </c>
      <c r="L146" s="467">
        <f t="shared" si="151"/>
        <v>117036.800000006</v>
      </c>
      <c r="M146" s="467">
        <f t="shared" si="152"/>
        <v>317036.800000006</v>
      </c>
      <c r="N146" s="467">
        <f t="shared" si="153"/>
        <v>317036.800000006</v>
      </c>
      <c r="O146" s="467">
        <f t="shared" si="154"/>
        <v>268147.200000024</v>
      </c>
      <c r="P146" s="467">
        <f t="shared" si="155"/>
        <v>18770.3040000017</v>
      </c>
      <c r="Q146" s="467">
        <f t="shared" si="156"/>
        <v>0</v>
      </c>
      <c r="R146" s="467">
        <f t="shared" si="157"/>
        <v>0</v>
      </c>
      <c r="S146" s="467">
        <f t="shared" si="158"/>
        <v>0</v>
      </c>
      <c r="T146" s="467">
        <f t="shared" si="159"/>
        <v>0</v>
      </c>
      <c r="U146" s="467"/>
      <c r="V146" s="467">
        <f t="shared" si="160"/>
        <v>18770.3040000017</v>
      </c>
      <c r="W146" s="474">
        <v>12</v>
      </c>
      <c r="X146" s="467">
        <f t="shared" si="161"/>
        <v>1564.19200000014</v>
      </c>
      <c r="Y146" s="470"/>
      <c r="Z146" s="467">
        <f t="shared" si="162"/>
        <v>1564.19200000014</v>
      </c>
      <c r="AA146" s="479">
        <v>31749.1752666667</v>
      </c>
      <c r="AB146" s="479">
        <f t="shared" si="148"/>
        <v>-30184.9832666666</v>
      </c>
      <c r="AC146" s="479"/>
      <c r="AD146" s="479"/>
      <c r="AE146" s="479"/>
    </row>
    <row r="147" ht="18" spans="1:31">
      <c r="A147" s="464">
        <v>125</v>
      </c>
      <c r="B147" s="18" t="s">
        <v>320</v>
      </c>
      <c r="C147" s="467">
        <v>48765.3333333321</v>
      </c>
      <c r="D147" s="466">
        <v>12</v>
      </c>
      <c r="E147" s="467">
        <f t="shared" si="149"/>
        <v>585183.999999985</v>
      </c>
      <c r="F147" s="467"/>
      <c r="G147" s="468"/>
      <c r="H147" s="470"/>
      <c r="I147" s="467">
        <f t="shared" si="150"/>
        <v>585183.999999985</v>
      </c>
      <c r="J147" s="467">
        <v>200000</v>
      </c>
      <c r="K147" s="467">
        <v>0.2</v>
      </c>
      <c r="L147" s="467">
        <f t="shared" si="151"/>
        <v>117036.799999997</v>
      </c>
      <c r="M147" s="467">
        <f t="shared" si="152"/>
        <v>317036.799999997</v>
      </c>
      <c r="N147" s="467">
        <f t="shared" si="153"/>
        <v>317036.799999997</v>
      </c>
      <c r="O147" s="467">
        <f t="shared" si="154"/>
        <v>268147.199999988</v>
      </c>
      <c r="P147" s="467">
        <f t="shared" si="155"/>
        <v>18770.3039999992</v>
      </c>
      <c r="Q147" s="467">
        <f t="shared" si="156"/>
        <v>0</v>
      </c>
      <c r="R147" s="467">
        <f t="shared" si="157"/>
        <v>0</v>
      </c>
      <c r="S147" s="467">
        <f t="shared" si="158"/>
        <v>0</v>
      </c>
      <c r="T147" s="467">
        <f t="shared" si="159"/>
        <v>0</v>
      </c>
      <c r="U147" s="467"/>
      <c r="V147" s="467">
        <f t="shared" si="160"/>
        <v>18770.3039999992</v>
      </c>
      <c r="W147" s="474">
        <v>12</v>
      </c>
      <c r="X147" s="467">
        <f t="shared" si="161"/>
        <v>1564.19199999993</v>
      </c>
      <c r="Y147" s="470"/>
      <c r="Z147" s="467">
        <f t="shared" si="162"/>
        <v>1564.19199999993</v>
      </c>
      <c r="AA147" s="479">
        <v>27105.9865626667</v>
      </c>
      <c r="AB147" s="479">
        <f t="shared" si="148"/>
        <v>-25541.7945626668</v>
      </c>
      <c r="AC147" s="479"/>
      <c r="AD147" s="479"/>
      <c r="AE147" s="479"/>
    </row>
    <row r="148" ht="18" spans="1:31">
      <c r="A148" s="464">
        <v>126</v>
      </c>
      <c r="B148" s="11" t="s">
        <v>322</v>
      </c>
      <c r="C148" s="467">
        <v>0</v>
      </c>
      <c r="D148" s="466">
        <v>12</v>
      </c>
      <c r="E148" s="467">
        <f t="shared" si="149"/>
        <v>0</v>
      </c>
      <c r="F148" s="467"/>
      <c r="G148" s="468"/>
      <c r="H148" s="470"/>
      <c r="I148" s="467">
        <f t="shared" si="150"/>
        <v>0</v>
      </c>
      <c r="J148" s="467">
        <v>200000</v>
      </c>
      <c r="K148" s="467">
        <v>0.2</v>
      </c>
      <c r="L148" s="467">
        <f t="shared" si="151"/>
        <v>0</v>
      </c>
      <c r="M148" s="467">
        <f t="shared" si="152"/>
        <v>200000</v>
      </c>
      <c r="N148" s="467">
        <f t="shared" si="153"/>
        <v>200000</v>
      </c>
      <c r="O148" s="467">
        <f t="shared" si="154"/>
        <v>-200000</v>
      </c>
      <c r="P148" s="467">
        <f t="shared" si="155"/>
        <v>-14000</v>
      </c>
      <c r="Q148" s="467">
        <f t="shared" si="156"/>
        <v>0</v>
      </c>
      <c r="R148" s="467">
        <f t="shared" si="157"/>
        <v>0</v>
      </c>
      <c r="S148" s="467">
        <f t="shared" si="158"/>
        <v>0</v>
      </c>
      <c r="T148" s="467">
        <f t="shared" si="159"/>
        <v>0</v>
      </c>
      <c r="U148" s="467"/>
      <c r="V148" s="467">
        <f t="shared" si="160"/>
        <v>-14000</v>
      </c>
      <c r="W148" s="474">
        <v>12</v>
      </c>
      <c r="X148" s="467">
        <f t="shared" si="161"/>
        <v>-1166.66666666667</v>
      </c>
      <c r="Y148" s="470"/>
      <c r="Z148" s="467">
        <f t="shared" si="162"/>
        <v>-1166.66666666667</v>
      </c>
      <c r="AA148" s="479">
        <v>27794.2066266667</v>
      </c>
      <c r="AB148" s="479">
        <f t="shared" si="148"/>
        <v>-28960.8732933334</v>
      </c>
      <c r="AC148" s="479"/>
      <c r="AD148" s="479"/>
      <c r="AE148" s="479"/>
    </row>
    <row r="149" ht="18" spans="1:31">
      <c r="A149" s="464">
        <v>127</v>
      </c>
      <c r="B149" s="11" t="s">
        <v>323</v>
      </c>
      <c r="C149" s="467">
        <v>0</v>
      </c>
      <c r="D149" s="466">
        <v>12</v>
      </c>
      <c r="E149" s="467">
        <f t="shared" si="149"/>
        <v>0</v>
      </c>
      <c r="F149" s="467"/>
      <c r="G149" s="468"/>
      <c r="H149" s="470"/>
      <c r="I149" s="467">
        <f t="shared" si="150"/>
        <v>0</v>
      </c>
      <c r="J149" s="467">
        <v>200000</v>
      </c>
      <c r="K149" s="467">
        <v>0.2</v>
      </c>
      <c r="L149" s="467">
        <f t="shared" si="151"/>
        <v>0</v>
      </c>
      <c r="M149" s="467">
        <f t="shared" si="152"/>
        <v>200000</v>
      </c>
      <c r="N149" s="467">
        <f t="shared" si="153"/>
        <v>200000</v>
      </c>
      <c r="O149" s="467">
        <f t="shared" si="154"/>
        <v>-200000</v>
      </c>
      <c r="P149" s="467">
        <f t="shared" si="155"/>
        <v>-14000</v>
      </c>
      <c r="Q149" s="467">
        <f t="shared" si="156"/>
        <v>0</v>
      </c>
      <c r="R149" s="467">
        <f t="shared" si="157"/>
        <v>0</v>
      </c>
      <c r="S149" s="467">
        <f t="shared" si="158"/>
        <v>0</v>
      </c>
      <c r="T149" s="467">
        <f t="shared" si="159"/>
        <v>0</v>
      </c>
      <c r="U149" s="467"/>
      <c r="V149" s="467">
        <f t="shared" si="160"/>
        <v>-14000</v>
      </c>
      <c r="W149" s="474">
        <v>12</v>
      </c>
      <c r="X149" s="467">
        <f t="shared" si="161"/>
        <v>-1166.66666666667</v>
      </c>
      <c r="Y149" s="470"/>
      <c r="Z149" s="467">
        <f t="shared" si="162"/>
        <v>-1166.66666666667</v>
      </c>
      <c r="AA149" s="479">
        <v>27873.0796866667</v>
      </c>
      <c r="AB149" s="479">
        <f t="shared" si="148"/>
        <v>-29039.7463533334</v>
      </c>
      <c r="AC149" s="479"/>
      <c r="AD149" s="479"/>
      <c r="AE149" s="479"/>
    </row>
    <row r="150" ht="18" spans="1:31">
      <c r="A150" s="464">
        <v>128</v>
      </c>
      <c r="B150" s="11" t="s">
        <v>325</v>
      </c>
      <c r="C150" s="467">
        <v>48765.3333333321</v>
      </c>
      <c r="D150" s="466">
        <v>12</v>
      </c>
      <c r="E150" s="467">
        <f t="shared" si="149"/>
        <v>585183.999999985</v>
      </c>
      <c r="F150" s="467"/>
      <c r="G150" s="468"/>
      <c r="H150" s="470"/>
      <c r="I150" s="467">
        <f t="shared" si="150"/>
        <v>585183.999999985</v>
      </c>
      <c r="J150" s="467">
        <v>200000</v>
      </c>
      <c r="K150" s="467">
        <v>0.2</v>
      </c>
      <c r="L150" s="467">
        <f t="shared" si="151"/>
        <v>117036.799999997</v>
      </c>
      <c r="M150" s="467">
        <f t="shared" si="152"/>
        <v>317036.799999997</v>
      </c>
      <c r="N150" s="467">
        <f t="shared" si="153"/>
        <v>317036.799999997</v>
      </c>
      <c r="O150" s="467">
        <f t="shared" si="154"/>
        <v>268147.199999988</v>
      </c>
      <c r="P150" s="467">
        <f t="shared" si="155"/>
        <v>18770.3039999992</v>
      </c>
      <c r="Q150" s="467">
        <f t="shared" si="156"/>
        <v>0</v>
      </c>
      <c r="R150" s="467">
        <f t="shared" si="157"/>
        <v>0</v>
      </c>
      <c r="S150" s="467">
        <f t="shared" si="158"/>
        <v>0</v>
      </c>
      <c r="T150" s="467">
        <f t="shared" si="159"/>
        <v>0</v>
      </c>
      <c r="U150" s="467"/>
      <c r="V150" s="467">
        <f t="shared" si="160"/>
        <v>18770.3039999992</v>
      </c>
      <c r="W150" s="474">
        <v>12</v>
      </c>
      <c r="X150" s="467">
        <f t="shared" si="161"/>
        <v>1564.19199999993</v>
      </c>
      <c r="Y150" s="470"/>
      <c r="Z150" s="467">
        <f t="shared" si="162"/>
        <v>1564.19199999993</v>
      </c>
      <c r="AA150" s="479">
        <v>27105.9865626667</v>
      </c>
      <c r="AB150" s="479">
        <f t="shared" si="148"/>
        <v>-25541.7945626668</v>
      </c>
      <c r="AC150" s="479"/>
      <c r="AD150" s="479"/>
      <c r="AE150" s="479"/>
    </row>
    <row r="151" ht="18" spans="1:31">
      <c r="A151" s="464">
        <v>129</v>
      </c>
      <c r="B151" s="11" t="s">
        <v>326</v>
      </c>
      <c r="C151" s="467">
        <v>31743.6666666679</v>
      </c>
      <c r="D151" s="466">
        <v>12</v>
      </c>
      <c r="E151" s="467">
        <f t="shared" si="149"/>
        <v>380924.000000015</v>
      </c>
      <c r="F151" s="467"/>
      <c r="G151" s="468"/>
      <c r="H151" s="470"/>
      <c r="I151" s="467">
        <f t="shared" si="150"/>
        <v>380924.000000015</v>
      </c>
      <c r="J151" s="467">
        <v>200000</v>
      </c>
      <c r="K151" s="467">
        <v>0.2</v>
      </c>
      <c r="L151" s="467">
        <f t="shared" si="151"/>
        <v>76184.800000003</v>
      </c>
      <c r="M151" s="467">
        <f t="shared" si="152"/>
        <v>276184.800000003</v>
      </c>
      <c r="N151" s="467">
        <f t="shared" si="153"/>
        <v>276184.800000003</v>
      </c>
      <c r="O151" s="467">
        <f t="shared" si="154"/>
        <v>104739.200000012</v>
      </c>
      <c r="P151" s="467">
        <f t="shared" si="155"/>
        <v>7331.74400000084</v>
      </c>
      <c r="Q151" s="467">
        <f t="shared" si="156"/>
        <v>0</v>
      </c>
      <c r="R151" s="467">
        <f t="shared" si="157"/>
        <v>0</v>
      </c>
      <c r="S151" s="467">
        <f t="shared" si="158"/>
        <v>0</v>
      </c>
      <c r="T151" s="467">
        <f t="shared" si="159"/>
        <v>0</v>
      </c>
      <c r="U151" s="467"/>
      <c r="V151" s="467">
        <f t="shared" si="160"/>
        <v>7331.74400000084</v>
      </c>
      <c r="W151" s="474">
        <v>12</v>
      </c>
      <c r="X151" s="467">
        <f t="shared" si="161"/>
        <v>610.978666666736</v>
      </c>
      <c r="Y151" s="470"/>
      <c r="Z151" s="467">
        <f t="shared" si="162"/>
        <v>610.978666666736</v>
      </c>
      <c r="AA151" s="479">
        <v>22338.4826046667</v>
      </c>
      <c r="AB151" s="479">
        <f t="shared" si="148"/>
        <v>-21727.503938</v>
      </c>
      <c r="AC151" s="479"/>
      <c r="AD151" s="479"/>
      <c r="AE151" s="479"/>
    </row>
    <row r="152" ht="36" spans="1:31">
      <c r="A152" s="464">
        <v>130</v>
      </c>
      <c r="B152" s="11" t="s">
        <v>328</v>
      </c>
      <c r="C152" s="467">
        <v>29265.3333333358</v>
      </c>
      <c r="D152" s="466">
        <v>12</v>
      </c>
      <c r="E152" s="467">
        <f t="shared" si="149"/>
        <v>351184.00000003</v>
      </c>
      <c r="F152" s="467"/>
      <c r="G152" s="468"/>
      <c r="H152" s="470"/>
      <c r="I152" s="467">
        <f t="shared" si="150"/>
        <v>351184.00000003</v>
      </c>
      <c r="J152" s="467">
        <v>200000</v>
      </c>
      <c r="K152" s="467">
        <v>0.2</v>
      </c>
      <c r="L152" s="467">
        <f t="shared" si="151"/>
        <v>70236.800000006</v>
      </c>
      <c r="M152" s="467">
        <f t="shared" si="152"/>
        <v>270236.800000006</v>
      </c>
      <c r="N152" s="467">
        <f t="shared" si="153"/>
        <v>270236.800000006</v>
      </c>
      <c r="O152" s="467">
        <f t="shared" si="154"/>
        <v>80947.2000000238</v>
      </c>
      <c r="P152" s="467">
        <f t="shared" si="155"/>
        <v>5666.30400000167</v>
      </c>
      <c r="Q152" s="467">
        <f t="shared" si="156"/>
        <v>0</v>
      </c>
      <c r="R152" s="467">
        <f t="shared" si="157"/>
        <v>0</v>
      </c>
      <c r="S152" s="467">
        <f t="shared" si="158"/>
        <v>0</v>
      </c>
      <c r="T152" s="467">
        <f t="shared" si="159"/>
        <v>0</v>
      </c>
      <c r="U152" s="467"/>
      <c r="V152" s="467">
        <f t="shared" si="160"/>
        <v>5666.30400000167</v>
      </c>
      <c r="W152" s="474">
        <v>12</v>
      </c>
      <c r="X152" s="467">
        <f t="shared" si="161"/>
        <v>472.192000000139</v>
      </c>
      <c r="Y152" s="470"/>
      <c r="Z152" s="467">
        <f t="shared" si="162"/>
        <v>472.192000000139</v>
      </c>
      <c r="AA152" s="479">
        <v>27105.9865626667</v>
      </c>
      <c r="AB152" s="479">
        <f t="shared" si="148"/>
        <v>-26633.7945626666</v>
      </c>
      <c r="AC152" s="479"/>
      <c r="AD152" s="479"/>
      <c r="AE152" s="479"/>
    </row>
    <row r="153" ht="18" spans="1:31">
      <c r="A153" s="464">
        <v>131</v>
      </c>
      <c r="B153" s="11" t="s">
        <v>330</v>
      </c>
      <c r="C153" s="467">
        <v>31743.6666666679</v>
      </c>
      <c r="D153" s="466">
        <v>12</v>
      </c>
      <c r="E153" s="467">
        <f t="shared" si="149"/>
        <v>380924.000000015</v>
      </c>
      <c r="F153" s="467"/>
      <c r="G153" s="468"/>
      <c r="H153" s="470"/>
      <c r="I153" s="467">
        <f t="shared" si="150"/>
        <v>380924.000000015</v>
      </c>
      <c r="J153" s="467">
        <v>200000</v>
      </c>
      <c r="K153" s="467">
        <v>0.2</v>
      </c>
      <c r="L153" s="467">
        <f t="shared" si="151"/>
        <v>76184.800000003</v>
      </c>
      <c r="M153" s="467">
        <f t="shared" si="152"/>
        <v>276184.800000003</v>
      </c>
      <c r="N153" s="467">
        <f t="shared" si="153"/>
        <v>276184.800000003</v>
      </c>
      <c r="O153" s="467">
        <f t="shared" si="154"/>
        <v>104739.200000012</v>
      </c>
      <c r="P153" s="467">
        <f t="shared" si="155"/>
        <v>7331.74400000084</v>
      </c>
      <c r="Q153" s="467">
        <f t="shared" si="156"/>
        <v>0</v>
      </c>
      <c r="R153" s="467">
        <f t="shared" si="157"/>
        <v>0</v>
      </c>
      <c r="S153" s="467">
        <f t="shared" si="158"/>
        <v>0</v>
      </c>
      <c r="T153" s="467">
        <f t="shared" si="159"/>
        <v>0</v>
      </c>
      <c r="U153" s="467"/>
      <c r="V153" s="467">
        <f t="shared" si="160"/>
        <v>7331.74400000084</v>
      </c>
      <c r="W153" s="474">
        <v>12</v>
      </c>
      <c r="X153" s="467">
        <f t="shared" si="161"/>
        <v>610.978666666736</v>
      </c>
      <c r="Y153" s="470"/>
      <c r="Z153" s="467">
        <f t="shared" si="162"/>
        <v>610.978666666736</v>
      </c>
      <c r="AA153" s="479">
        <v>23036.0123466667</v>
      </c>
      <c r="AB153" s="479">
        <f t="shared" si="148"/>
        <v>-22425.03368</v>
      </c>
      <c r="AC153" s="479"/>
      <c r="AD153" s="479"/>
      <c r="AE153" s="479"/>
    </row>
    <row r="154" ht="18" spans="1:31">
      <c r="A154" s="464">
        <v>132</v>
      </c>
      <c r="B154" s="11" t="s">
        <v>332</v>
      </c>
      <c r="C154" s="467">
        <v>29265.3333333321</v>
      </c>
      <c r="D154" s="466">
        <v>12</v>
      </c>
      <c r="E154" s="467">
        <f t="shared" si="149"/>
        <v>351183.999999985</v>
      </c>
      <c r="F154" s="467"/>
      <c r="G154" s="468"/>
      <c r="H154" s="470"/>
      <c r="I154" s="467">
        <f t="shared" si="150"/>
        <v>351183.999999985</v>
      </c>
      <c r="J154" s="467">
        <v>200000</v>
      </c>
      <c r="K154" s="467">
        <v>0.2</v>
      </c>
      <c r="L154" s="467">
        <f t="shared" si="151"/>
        <v>70236.799999997</v>
      </c>
      <c r="M154" s="467">
        <f t="shared" si="152"/>
        <v>270236.799999997</v>
      </c>
      <c r="N154" s="467">
        <f t="shared" si="153"/>
        <v>270236.799999997</v>
      </c>
      <c r="O154" s="467">
        <f t="shared" si="154"/>
        <v>80947.1999999881</v>
      </c>
      <c r="P154" s="467">
        <f t="shared" si="155"/>
        <v>5666.30399999917</v>
      </c>
      <c r="Q154" s="467">
        <f t="shared" si="156"/>
        <v>0</v>
      </c>
      <c r="R154" s="467">
        <f t="shared" si="157"/>
        <v>0</v>
      </c>
      <c r="S154" s="467">
        <f t="shared" si="158"/>
        <v>0</v>
      </c>
      <c r="T154" s="467">
        <f t="shared" si="159"/>
        <v>0</v>
      </c>
      <c r="U154" s="467"/>
      <c r="V154" s="467">
        <f t="shared" si="160"/>
        <v>5666.30399999917</v>
      </c>
      <c r="W154" s="474">
        <v>12</v>
      </c>
      <c r="X154" s="467">
        <f t="shared" si="161"/>
        <v>472.19199999993</v>
      </c>
      <c r="Y154" s="470"/>
      <c r="Z154" s="467">
        <f t="shared" si="162"/>
        <v>472.19199999993</v>
      </c>
      <c r="AA154" s="479">
        <v>27029.2036746667</v>
      </c>
      <c r="AB154" s="479">
        <f t="shared" si="148"/>
        <v>-26557.0116746668</v>
      </c>
      <c r="AC154" s="479"/>
      <c r="AD154" s="479"/>
      <c r="AE154" s="479"/>
    </row>
    <row r="155" ht="18" spans="1:31">
      <c r="A155" s="464">
        <v>133</v>
      </c>
      <c r="B155" s="11" t="s">
        <v>334</v>
      </c>
      <c r="C155" s="467">
        <v>31743.6666666679</v>
      </c>
      <c r="D155" s="466">
        <v>12</v>
      </c>
      <c r="E155" s="467">
        <f t="shared" si="149"/>
        <v>380924.000000015</v>
      </c>
      <c r="F155" s="467"/>
      <c r="G155" s="468"/>
      <c r="H155" s="470"/>
      <c r="I155" s="467">
        <f t="shared" si="150"/>
        <v>380924.000000015</v>
      </c>
      <c r="J155" s="467">
        <v>200000</v>
      </c>
      <c r="K155" s="467">
        <v>0.2</v>
      </c>
      <c r="L155" s="467">
        <f t="shared" si="151"/>
        <v>76184.800000003</v>
      </c>
      <c r="M155" s="467">
        <f t="shared" si="152"/>
        <v>276184.800000003</v>
      </c>
      <c r="N155" s="467">
        <f t="shared" si="153"/>
        <v>276184.800000003</v>
      </c>
      <c r="O155" s="467">
        <f t="shared" si="154"/>
        <v>104739.200000012</v>
      </c>
      <c r="P155" s="467">
        <f t="shared" si="155"/>
        <v>7331.74400000084</v>
      </c>
      <c r="Q155" s="467">
        <f t="shared" si="156"/>
        <v>0</v>
      </c>
      <c r="R155" s="467">
        <f t="shared" si="157"/>
        <v>0</v>
      </c>
      <c r="S155" s="467">
        <f t="shared" si="158"/>
        <v>0</v>
      </c>
      <c r="T155" s="467">
        <f t="shared" si="159"/>
        <v>0</v>
      </c>
      <c r="U155" s="467"/>
      <c r="V155" s="467">
        <f t="shared" si="160"/>
        <v>7331.74400000084</v>
      </c>
      <c r="W155" s="474">
        <v>12</v>
      </c>
      <c r="X155" s="467">
        <f t="shared" si="161"/>
        <v>610.978666666736</v>
      </c>
      <c r="Y155" s="470"/>
      <c r="Z155" s="467">
        <f t="shared" si="162"/>
        <v>610.978666666736</v>
      </c>
      <c r="AA155" s="479">
        <v>22338.4826046667</v>
      </c>
      <c r="AB155" s="479">
        <f t="shared" si="148"/>
        <v>-21727.503938</v>
      </c>
      <c r="AC155" s="479"/>
      <c r="AD155" s="479"/>
      <c r="AE155" s="479"/>
    </row>
    <row r="156" ht="18" spans="1:31">
      <c r="A156" s="464">
        <v>134</v>
      </c>
      <c r="B156" s="11" t="s">
        <v>335</v>
      </c>
      <c r="C156" s="467">
        <v>29265.3333333321</v>
      </c>
      <c r="D156" s="466">
        <v>12</v>
      </c>
      <c r="E156" s="467">
        <f t="shared" si="149"/>
        <v>351183.999999985</v>
      </c>
      <c r="F156" s="467"/>
      <c r="G156" s="468"/>
      <c r="H156" s="470"/>
      <c r="I156" s="467">
        <f t="shared" si="150"/>
        <v>351183.999999985</v>
      </c>
      <c r="J156" s="467">
        <v>200000</v>
      </c>
      <c r="K156" s="467">
        <v>0.2</v>
      </c>
      <c r="L156" s="467">
        <f t="shared" si="151"/>
        <v>70236.799999997</v>
      </c>
      <c r="M156" s="467">
        <f t="shared" si="152"/>
        <v>270236.799999997</v>
      </c>
      <c r="N156" s="467">
        <f t="shared" si="153"/>
        <v>270236.799999997</v>
      </c>
      <c r="O156" s="467">
        <f t="shared" si="154"/>
        <v>80947.1999999881</v>
      </c>
      <c r="P156" s="467">
        <f t="shared" si="155"/>
        <v>5666.30399999917</v>
      </c>
      <c r="Q156" s="467">
        <f t="shared" si="156"/>
        <v>0</v>
      </c>
      <c r="R156" s="467">
        <f t="shared" si="157"/>
        <v>0</v>
      </c>
      <c r="S156" s="467">
        <f t="shared" si="158"/>
        <v>0</v>
      </c>
      <c r="T156" s="467">
        <f t="shared" si="159"/>
        <v>0</v>
      </c>
      <c r="U156" s="467"/>
      <c r="V156" s="467">
        <f t="shared" si="160"/>
        <v>5666.30399999917</v>
      </c>
      <c r="W156" s="474">
        <v>12</v>
      </c>
      <c r="X156" s="467">
        <f t="shared" si="161"/>
        <v>472.19199999993</v>
      </c>
      <c r="Y156" s="470"/>
      <c r="Z156" s="467">
        <f t="shared" si="162"/>
        <v>472.19199999993</v>
      </c>
      <c r="AA156" s="479">
        <v>21640.9528626667</v>
      </c>
      <c r="AB156" s="479">
        <f t="shared" si="148"/>
        <v>-21168.7608626668</v>
      </c>
      <c r="AC156" s="479"/>
      <c r="AD156" s="479"/>
      <c r="AE156" s="479"/>
    </row>
    <row r="157" ht="18" spans="1:31">
      <c r="A157" s="464">
        <v>135</v>
      </c>
      <c r="B157" s="18" t="s">
        <v>337</v>
      </c>
      <c r="C157" s="467">
        <v>29265.3333333321</v>
      </c>
      <c r="D157" s="466">
        <v>12</v>
      </c>
      <c r="E157" s="467">
        <f t="shared" si="149"/>
        <v>351183.999999985</v>
      </c>
      <c r="F157" s="467"/>
      <c r="G157" s="468"/>
      <c r="H157" s="470"/>
      <c r="I157" s="467">
        <f t="shared" si="150"/>
        <v>351183.999999985</v>
      </c>
      <c r="J157" s="467">
        <v>200000</v>
      </c>
      <c r="K157" s="467">
        <v>0.2</v>
      </c>
      <c r="L157" s="467">
        <f t="shared" si="151"/>
        <v>70236.799999997</v>
      </c>
      <c r="M157" s="467">
        <f t="shared" si="152"/>
        <v>270236.799999997</v>
      </c>
      <c r="N157" s="467">
        <f t="shared" si="153"/>
        <v>270236.799999997</v>
      </c>
      <c r="O157" s="467">
        <f t="shared" si="154"/>
        <v>80947.1999999881</v>
      </c>
      <c r="P157" s="467">
        <f t="shared" si="155"/>
        <v>5666.30399999917</v>
      </c>
      <c r="Q157" s="467">
        <f t="shared" si="156"/>
        <v>0</v>
      </c>
      <c r="R157" s="467">
        <f t="shared" si="157"/>
        <v>0</v>
      </c>
      <c r="S157" s="467">
        <f t="shared" si="158"/>
        <v>0</v>
      </c>
      <c r="T157" s="467">
        <f t="shared" si="159"/>
        <v>0</v>
      </c>
      <c r="U157" s="467"/>
      <c r="V157" s="467">
        <f t="shared" si="160"/>
        <v>5666.30399999917</v>
      </c>
      <c r="W157" s="474">
        <v>12</v>
      </c>
      <c r="X157" s="467">
        <f t="shared" si="161"/>
        <v>472.19199999993</v>
      </c>
      <c r="Y157" s="470"/>
      <c r="Z157" s="467">
        <f t="shared" si="162"/>
        <v>472.19199999993</v>
      </c>
      <c r="AA157" s="479">
        <v>17042.7138666667</v>
      </c>
      <c r="AB157" s="479">
        <f t="shared" si="148"/>
        <v>-16570.5218666668</v>
      </c>
      <c r="AC157" s="479"/>
      <c r="AD157" s="479"/>
      <c r="AE157" s="479"/>
    </row>
    <row r="158" ht="18" spans="1:31">
      <c r="A158" s="464">
        <v>136</v>
      </c>
      <c r="B158" s="18" t="s">
        <v>339</v>
      </c>
      <c r="C158" s="467">
        <v>29265.3333333321</v>
      </c>
      <c r="D158" s="466">
        <v>12</v>
      </c>
      <c r="E158" s="467">
        <f t="shared" si="149"/>
        <v>351183.999999985</v>
      </c>
      <c r="F158" s="467"/>
      <c r="G158" s="468"/>
      <c r="H158" s="470"/>
      <c r="I158" s="467">
        <f t="shared" si="150"/>
        <v>351183.999999985</v>
      </c>
      <c r="J158" s="467">
        <v>200000</v>
      </c>
      <c r="K158" s="467">
        <v>0.2</v>
      </c>
      <c r="L158" s="467">
        <f t="shared" si="151"/>
        <v>70236.799999997</v>
      </c>
      <c r="M158" s="467">
        <f t="shared" si="152"/>
        <v>270236.799999997</v>
      </c>
      <c r="N158" s="467">
        <f t="shared" si="153"/>
        <v>270236.799999997</v>
      </c>
      <c r="O158" s="467">
        <f t="shared" si="154"/>
        <v>80947.1999999881</v>
      </c>
      <c r="P158" s="467">
        <f t="shared" si="155"/>
        <v>5666.30399999917</v>
      </c>
      <c r="Q158" s="467">
        <f t="shared" si="156"/>
        <v>0</v>
      </c>
      <c r="R158" s="467">
        <f t="shared" si="157"/>
        <v>0</v>
      </c>
      <c r="S158" s="467">
        <f t="shared" si="158"/>
        <v>0</v>
      </c>
      <c r="T158" s="467">
        <f t="shared" si="159"/>
        <v>0</v>
      </c>
      <c r="U158" s="467"/>
      <c r="V158" s="467">
        <f t="shared" si="160"/>
        <v>5666.30399999917</v>
      </c>
      <c r="W158" s="474">
        <v>12</v>
      </c>
      <c r="X158" s="467">
        <f t="shared" si="161"/>
        <v>472.19199999993</v>
      </c>
      <c r="Y158" s="470"/>
      <c r="Z158" s="467">
        <f t="shared" si="162"/>
        <v>472.19199999993</v>
      </c>
      <c r="AA158" s="479">
        <v>17042.7138666667</v>
      </c>
      <c r="AB158" s="479">
        <f t="shared" si="148"/>
        <v>-16570.5218666668</v>
      </c>
      <c r="AC158" s="479"/>
      <c r="AD158" s="479"/>
      <c r="AE158" s="479"/>
    </row>
    <row r="159" ht="18" spans="1:31">
      <c r="A159" s="464">
        <v>137</v>
      </c>
      <c r="B159" s="18" t="s">
        <v>345</v>
      </c>
      <c r="C159" s="467">
        <v>24688.666666668</v>
      </c>
      <c r="D159" s="466">
        <v>12</v>
      </c>
      <c r="E159" s="467">
        <f t="shared" si="149"/>
        <v>296264.000000016</v>
      </c>
      <c r="F159" s="467"/>
      <c r="G159" s="468"/>
      <c r="H159" s="470"/>
      <c r="I159" s="467">
        <f t="shared" si="150"/>
        <v>296264.000000016</v>
      </c>
      <c r="J159" s="467">
        <v>200000</v>
      </c>
      <c r="K159" s="467">
        <v>0.2</v>
      </c>
      <c r="L159" s="467">
        <f t="shared" si="151"/>
        <v>59252.8000000033</v>
      </c>
      <c r="M159" s="467">
        <f t="shared" si="152"/>
        <v>259252.800000003</v>
      </c>
      <c r="N159" s="467">
        <f t="shared" si="153"/>
        <v>259252.800000003</v>
      </c>
      <c r="O159" s="467">
        <f t="shared" si="154"/>
        <v>37011.2000000131</v>
      </c>
      <c r="P159" s="467">
        <f t="shared" si="155"/>
        <v>2590.78400000091</v>
      </c>
      <c r="Q159" s="467">
        <f t="shared" si="156"/>
        <v>0</v>
      </c>
      <c r="R159" s="467">
        <f t="shared" si="157"/>
        <v>0</v>
      </c>
      <c r="S159" s="467">
        <f t="shared" si="158"/>
        <v>0</v>
      </c>
      <c r="T159" s="467">
        <f t="shared" si="159"/>
        <v>0</v>
      </c>
      <c r="U159" s="467"/>
      <c r="V159" s="467">
        <f t="shared" si="160"/>
        <v>2590.78400000091</v>
      </c>
      <c r="W159" s="474">
        <v>12</v>
      </c>
      <c r="X159" s="467">
        <f t="shared" si="161"/>
        <v>215.898666666743</v>
      </c>
      <c r="Y159" s="470"/>
      <c r="Z159" s="467">
        <f t="shared" si="162"/>
        <v>215.898666666743</v>
      </c>
      <c r="AA159" s="479">
        <v>17042.7138666667</v>
      </c>
      <c r="AB159" s="479">
        <f t="shared" si="148"/>
        <v>-16826.8152</v>
      </c>
      <c r="AC159" s="479"/>
      <c r="AD159" s="479"/>
      <c r="AE159" s="479"/>
    </row>
    <row r="160" ht="18" spans="1:31">
      <c r="A160" s="464">
        <v>138</v>
      </c>
      <c r="B160" s="18" t="s">
        <v>347</v>
      </c>
      <c r="C160" s="467">
        <v>24688.666666668</v>
      </c>
      <c r="D160" s="466">
        <v>12</v>
      </c>
      <c r="E160" s="467">
        <f t="shared" si="149"/>
        <v>296264.000000016</v>
      </c>
      <c r="F160" s="467"/>
      <c r="G160" s="468"/>
      <c r="H160" s="470"/>
      <c r="I160" s="467">
        <f t="shared" si="150"/>
        <v>296264.000000016</v>
      </c>
      <c r="J160" s="467">
        <v>200000</v>
      </c>
      <c r="K160" s="467">
        <v>0.2</v>
      </c>
      <c r="L160" s="467">
        <f t="shared" si="151"/>
        <v>59252.8000000033</v>
      </c>
      <c r="M160" s="467">
        <f t="shared" si="152"/>
        <v>259252.800000003</v>
      </c>
      <c r="N160" s="467">
        <f t="shared" si="153"/>
        <v>259252.800000003</v>
      </c>
      <c r="O160" s="467">
        <f t="shared" si="154"/>
        <v>37011.2000000131</v>
      </c>
      <c r="P160" s="467">
        <f t="shared" si="155"/>
        <v>2590.78400000091</v>
      </c>
      <c r="Q160" s="467">
        <f t="shared" si="156"/>
        <v>0</v>
      </c>
      <c r="R160" s="467">
        <f t="shared" si="157"/>
        <v>0</v>
      </c>
      <c r="S160" s="467">
        <f t="shared" si="158"/>
        <v>0</v>
      </c>
      <c r="T160" s="467">
        <f t="shared" si="159"/>
        <v>0</v>
      </c>
      <c r="U160" s="467"/>
      <c r="V160" s="467">
        <f t="shared" si="160"/>
        <v>2590.78400000091</v>
      </c>
      <c r="W160" s="474">
        <v>12</v>
      </c>
      <c r="X160" s="467">
        <f t="shared" si="161"/>
        <v>215.898666666743</v>
      </c>
      <c r="Y160" s="470"/>
      <c r="Z160" s="467">
        <f t="shared" si="162"/>
        <v>215.898666666743</v>
      </c>
      <c r="AA160" s="479">
        <v>17572.8850026667</v>
      </c>
      <c r="AB160" s="479">
        <f t="shared" si="148"/>
        <v>-17356.986336</v>
      </c>
      <c r="AC160" s="479"/>
      <c r="AD160" s="479"/>
      <c r="AE160" s="479"/>
    </row>
    <row r="161" ht="18" spans="1:31">
      <c r="A161" s="464">
        <v>139</v>
      </c>
      <c r="B161" s="18" t="s">
        <v>349</v>
      </c>
      <c r="C161" s="467">
        <v>24688.666666668</v>
      </c>
      <c r="D161" s="466">
        <v>12</v>
      </c>
      <c r="E161" s="467">
        <f t="shared" si="149"/>
        <v>296264.000000016</v>
      </c>
      <c r="F161" s="467"/>
      <c r="G161" s="468"/>
      <c r="H161" s="470"/>
      <c r="I161" s="467">
        <f t="shared" si="150"/>
        <v>296264.000000016</v>
      </c>
      <c r="J161" s="467">
        <v>200000</v>
      </c>
      <c r="K161" s="467">
        <v>0.2</v>
      </c>
      <c r="L161" s="467">
        <f t="shared" si="151"/>
        <v>59252.8000000033</v>
      </c>
      <c r="M161" s="467">
        <f t="shared" si="152"/>
        <v>259252.800000003</v>
      </c>
      <c r="N161" s="467">
        <f t="shared" si="153"/>
        <v>259252.800000003</v>
      </c>
      <c r="O161" s="467">
        <f t="shared" si="154"/>
        <v>37011.2000000131</v>
      </c>
      <c r="P161" s="467">
        <f t="shared" si="155"/>
        <v>2590.78400000091</v>
      </c>
      <c r="Q161" s="467">
        <f t="shared" si="156"/>
        <v>0</v>
      </c>
      <c r="R161" s="467">
        <f t="shared" si="157"/>
        <v>0</v>
      </c>
      <c r="S161" s="467">
        <f t="shared" si="158"/>
        <v>0</v>
      </c>
      <c r="T161" s="467">
        <f t="shared" si="159"/>
        <v>0</v>
      </c>
      <c r="U161" s="467"/>
      <c r="V161" s="467">
        <f t="shared" si="160"/>
        <v>2590.78400000091</v>
      </c>
      <c r="W161" s="474">
        <v>12</v>
      </c>
      <c r="X161" s="467">
        <f t="shared" si="161"/>
        <v>215.898666666743</v>
      </c>
      <c r="Y161" s="470"/>
      <c r="Z161" s="467">
        <f t="shared" si="162"/>
        <v>215.898666666743</v>
      </c>
      <c r="AA161" s="479">
        <v>17042.7138666667</v>
      </c>
      <c r="AB161" s="479">
        <f t="shared" si="148"/>
        <v>-16826.8152</v>
      </c>
      <c r="AC161" s="479"/>
      <c r="AD161" s="479"/>
      <c r="AE161" s="479"/>
    </row>
    <row r="162" ht="18" spans="1:31">
      <c r="A162" s="464">
        <v>140</v>
      </c>
      <c r="B162" s="18" t="s">
        <v>351</v>
      </c>
      <c r="C162" s="467">
        <v>24688.666666664</v>
      </c>
      <c r="D162" s="466">
        <v>12</v>
      </c>
      <c r="E162" s="467">
        <f t="shared" si="149"/>
        <v>296263.999999967</v>
      </c>
      <c r="F162" s="467"/>
      <c r="G162" s="468"/>
      <c r="H162" s="470"/>
      <c r="I162" s="467">
        <f t="shared" si="150"/>
        <v>296263.999999967</v>
      </c>
      <c r="J162" s="467">
        <v>200000</v>
      </c>
      <c r="K162" s="467">
        <v>0.2</v>
      </c>
      <c r="L162" s="467">
        <f t="shared" si="151"/>
        <v>59252.7999999935</v>
      </c>
      <c r="M162" s="467">
        <f t="shared" si="152"/>
        <v>259252.799999993</v>
      </c>
      <c r="N162" s="467">
        <f t="shared" si="153"/>
        <v>259252.799999993</v>
      </c>
      <c r="O162" s="467">
        <f t="shared" si="154"/>
        <v>37011.1999999739</v>
      </c>
      <c r="P162" s="467">
        <f t="shared" si="155"/>
        <v>2590.78399999818</v>
      </c>
      <c r="Q162" s="467">
        <f t="shared" si="156"/>
        <v>0</v>
      </c>
      <c r="R162" s="467">
        <f t="shared" si="157"/>
        <v>0</v>
      </c>
      <c r="S162" s="467">
        <f t="shared" si="158"/>
        <v>0</v>
      </c>
      <c r="T162" s="467">
        <f t="shared" si="159"/>
        <v>0</v>
      </c>
      <c r="U162" s="467"/>
      <c r="V162" s="467">
        <f t="shared" si="160"/>
        <v>2590.78399999818</v>
      </c>
      <c r="W162" s="474">
        <v>12</v>
      </c>
      <c r="X162" s="467">
        <f t="shared" si="161"/>
        <v>215.898666666515</v>
      </c>
      <c r="Y162" s="470"/>
      <c r="Z162" s="467">
        <f t="shared" si="162"/>
        <v>215.898666666515</v>
      </c>
      <c r="AA162" s="479">
        <v>10739.3048</v>
      </c>
      <c r="AB162" s="479">
        <f t="shared" si="148"/>
        <v>-10523.4061333335</v>
      </c>
      <c r="AC162" s="479"/>
      <c r="AD162" s="479"/>
      <c r="AE162" s="479"/>
    </row>
    <row r="163" ht="18" spans="1:31">
      <c r="A163" s="464">
        <v>141</v>
      </c>
      <c r="B163" s="18" t="s">
        <v>352</v>
      </c>
      <c r="C163" s="467">
        <v>24688.666666668</v>
      </c>
      <c r="D163" s="466">
        <v>12</v>
      </c>
      <c r="E163" s="467">
        <f t="shared" si="149"/>
        <v>296264.000000016</v>
      </c>
      <c r="F163" s="467"/>
      <c r="G163" s="468"/>
      <c r="H163" s="470"/>
      <c r="I163" s="467">
        <f t="shared" si="150"/>
        <v>296264.000000016</v>
      </c>
      <c r="J163" s="467">
        <v>200000</v>
      </c>
      <c r="K163" s="467">
        <v>0.2</v>
      </c>
      <c r="L163" s="467">
        <f t="shared" si="151"/>
        <v>59252.8000000033</v>
      </c>
      <c r="M163" s="467">
        <f t="shared" si="152"/>
        <v>259252.800000003</v>
      </c>
      <c r="N163" s="467">
        <f t="shared" si="153"/>
        <v>259252.800000003</v>
      </c>
      <c r="O163" s="467">
        <f t="shared" si="154"/>
        <v>37011.2000000131</v>
      </c>
      <c r="P163" s="467">
        <f t="shared" si="155"/>
        <v>2590.78400000091</v>
      </c>
      <c r="Q163" s="467">
        <f t="shared" si="156"/>
        <v>0</v>
      </c>
      <c r="R163" s="467">
        <f t="shared" si="157"/>
        <v>0</v>
      </c>
      <c r="S163" s="467">
        <f t="shared" si="158"/>
        <v>0</v>
      </c>
      <c r="T163" s="467">
        <f t="shared" si="159"/>
        <v>0</v>
      </c>
      <c r="U163" s="467"/>
      <c r="V163" s="467">
        <f t="shared" si="160"/>
        <v>2590.78400000091</v>
      </c>
      <c r="W163" s="474">
        <v>12</v>
      </c>
      <c r="X163" s="467">
        <f t="shared" si="161"/>
        <v>215.898666666743</v>
      </c>
      <c r="Y163" s="470"/>
      <c r="Z163" s="467">
        <f t="shared" si="162"/>
        <v>215.898666666743</v>
      </c>
      <c r="AA163" s="479">
        <v>11232.4576266667</v>
      </c>
      <c r="AB163" s="479">
        <f t="shared" si="148"/>
        <v>-11016.55896</v>
      </c>
      <c r="AC163" s="479"/>
      <c r="AD163" s="479"/>
      <c r="AE163" s="479"/>
    </row>
    <row r="164" ht="15.75" customHeight="1" spans="1:31">
      <c r="A164" s="464">
        <v>142</v>
      </c>
      <c r="B164" s="18" t="s">
        <v>353</v>
      </c>
      <c r="C164" s="467">
        <v>24688.666666668</v>
      </c>
      <c r="D164" s="466">
        <v>12</v>
      </c>
      <c r="E164" s="467">
        <f t="shared" si="149"/>
        <v>296264.000000016</v>
      </c>
      <c r="F164" s="467"/>
      <c r="G164" s="468"/>
      <c r="H164" s="470"/>
      <c r="I164" s="467">
        <f t="shared" si="150"/>
        <v>296264.000000016</v>
      </c>
      <c r="J164" s="467">
        <v>200000</v>
      </c>
      <c r="K164" s="467">
        <v>0.2</v>
      </c>
      <c r="L164" s="467">
        <f t="shared" si="151"/>
        <v>59252.8000000033</v>
      </c>
      <c r="M164" s="467">
        <f t="shared" si="152"/>
        <v>259252.800000003</v>
      </c>
      <c r="N164" s="467">
        <f t="shared" si="153"/>
        <v>259252.800000003</v>
      </c>
      <c r="O164" s="467">
        <f t="shared" si="154"/>
        <v>37011.2000000131</v>
      </c>
      <c r="P164" s="467">
        <f t="shared" si="155"/>
        <v>2590.78400000091</v>
      </c>
      <c r="Q164" s="467">
        <f t="shared" si="156"/>
        <v>0</v>
      </c>
      <c r="R164" s="467">
        <f t="shared" si="157"/>
        <v>0</v>
      </c>
      <c r="S164" s="467">
        <f t="shared" si="158"/>
        <v>0</v>
      </c>
      <c r="T164" s="467">
        <f t="shared" si="159"/>
        <v>0</v>
      </c>
      <c r="U164" s="467"/>
      <c r="V164" s="467">
        <f t="shared" si="160"/>
        <v>2590.78400000091</v>
      </c>
      <c r="W164" s="474">
        <v>12</v>
      </c>
      <c r="X164" s="467">
        <f t="shared" si="161"/>
        <v>215.898666666743</v>
      </c>
      <c r="Y164" s="470"/>
      <c r="Z164" s="467">
        <f t="shared" si="162"/>
        <v>215.898666666743</v>
      </c>
      <c r="AA164" s="479">
        <v>10776.4576266667</v>
      </c>
      <c r="AB164" s="479">
        <f t="shared" si="148"/>
        <v>-10560.55896</v>
      </c>
      <c r="AC164" s="479"/>
      <c r="AD164" s="479"/>
      <c r="AE164" s="479"/>
    </row>
    <row r="165" ht="18" spans="1:31">
      <c r="A165" s="464">
        <v>143</v>
      </c>
      <c r="B165" s="18" t="s">
        <v>355</v>
      </c>
      <c r="C165" s="467">
        <v>24688.666666668</v>
      </c>
      <c r="D165" s="466">
        <v>12</v>
      </c>
      <c r="E165" s="467">
        <f t="shared" si="149"/>
        <v>296264.000000016</v>
      </c>
      <c r="F165" s="467"/>
      <c r="G165" s="468"/>
      <c r="H165" s="470"/>
      <c r="I165" s="467">
        <f t="shared" si="150"/>
        <v>296264.000000016</v>
      </c>
      <c r="J165" s="467">
        <v>200000</v>
      </c>
      <c r="K165" s="467">
        <v>0.2</v>
      </c>
      <c r="L165" s="467">
        <f t="shared" si="151"/>
        <v>59252.8000000033</v>
      </c>
      <c r="M165" s="467">
        <f t="shared" si="152"/>
        <v>259252.800000003</v>
      </c>
      <c r="N165" s="467">
        <f t="shared" si="153"/>
        <v>259252.800000003</v>
      </c>
      <c r="O165" s="467">
        <f t="shared" si="154"/>
        <v>37011.2000000131</v>
      </c>
      <c r="P165" s="467">
        <f t="shared" si="155"/>
        <v>2590.78400000091</v>
      </c>
      <c r="Q165" s="467">
        <f t="shared" si="156"/>
        <v>0</v>
      </c>
      <c r="R165" s="467">
        <f t="shared" si="157"/>
        <v>0</v>
      </c>
      <c r="S165" s="467">
        <f t="shared" si="158"/>
        <v>0</v>
      </c>
      <c r="T165" s="467">
        <f t="shared" si="159"/>
        <v>0</v>
      </c>
      <c r="U165" s="467"/>
      <c r="V165" s="467">
        <f t="shared" si="160"/>
        <v>2590.78400000091</v>
      </c>
      <c r="W165" s="474">
        <v>12</v>
      </c>
      <c r="X165" s="467">
        <f t="shared" si="161"/>
        <v>215.898666666743</v>
      </c>
      <c r="Y165" s="470"/>
      <c r="Z165" s="467">
        <f t="shared" si="162"/>
        <v>215.898666666743</v>
      </c>
      <c r="AA165" s="479">
        <v>10739.3048</v>
      </c>
      <c r="AB165" s="479">
        <f t="shared" si="148"/>
        <v>-10523.4061333333</v>
      </c>
      <c r="AC165" s="479"/>
      <c r="AD165" s="479"/>
      <c r="AE165" s="479"/>
    </row>
    <row r="166" ht="18" spans="1:31">
      <c r="A166" s="464">
        <v>144</v>
      </c>
      <c r="B166" s="11" t="s">
        <v>361</v>
      </c>
      <c r="C166" s="467">
        <v>21045.333333332</v>
      </c>
      <c r="D166" s="466">
        <v>12</v>
      </c>
      <c r="E166" s="467">
        <f t="shared" si="149"/>
        <v>252543.999999984</v>
      </c>
      <c r="F166" s="467"/>
      <c r="G166" s="468"/>
      <c r="H166" s="470"/>
      <c r="I166" s="467">
        <f t="shared" si="150"/>
        <v>252543.999999984</v>
      </c>
      <c r="J166" s="467">
        <v>200000</v>
      </c>
      <c r="K166" s="467">
        <v>0.2</v>
      </c>
      <c r="L166" s="467">
        <f t="shared" si="151"/>
        <v>50508.7999999967</v>
      </c>
      <c r="M166" s="467">
        <f t="shared" si="152"/>
        <v>250508.799999997</v>
      </c>
      <c r="N166" s="467">
        <f t="shared" si="153"/>
        <v>250508.799999997</v>
      </c>
      <c r="O166" s="467">
        <f t="shared" si="154"/>
        <v>2035.19999998697</v>
      </c>
      <c r="P166" s="467">
        <f t="shared" si="155"/>
        <v>142.463999999088</v>
      </c>
      <c r="Q166" s="467">
        <f t="shared" si="156"/>
        <v>0</v>
      </c>
      <c r="R166" s="467">
        <f t="shared" si="157"/>
        <v>0</v>
      </c>
      <c r="S166" s="467">
        <f t="shared" si="158"/>
        <v>0</v>
      </c>
      <c r="T166" s="467">
        <f t="shared" si="159"/>
        <v>0</v>
      </c>
      <c r="U166" s="467"/>
      <c r="V166" s="467">
        <f t="shared" si="160"/>
        <v>142.463999999088</v>
      </c>
      <c r="W166" s="474">
        <v>12</v>
      </c>
      <c r="X166" s="467">
        <f t="shared" si="161"/>
        <v>11.871999999924</v>
      </c>
      <c r="Y166" s="470"/>
      <c r="Z166" s="467">
        <f t="shared" si="162"/>
        <v>11.871999999924</v>
      </c>
      <c r="AA166" s="479">
        <v>10776.4576266667</v>
      </c>
      <c r="AB166" s="479">
        <f t="shared" si="148"/>
        <v>-10764.5856266668</v>
      </c>
      <c r="AC166" s="479"/>
      <c r="AD166" s="479"/>
      <c r="AE166" s="479"/>
    </row>
    <row r="167" ht="18" spans="1:31">
      <c r="A167" s="464">
        <v>145</v>
      </c>
      <c r="B167" s="11" t="s">
        <v>364</v>
      </c>
      <c r="C167" s="467">
        <v>21045.333333332</v>
      </c>
      <c r="D167" s="466">
        <v>12</v>
      </c>
      <c r="E167" s="467">
        <f t="shared" si="149"/>
        <v>252543.999999984</v>
      </c>
      <c r="F167" s="467"/>
      <c r="G167" s="468"/>
      <c r="H167" s="470"/>
      <c r="I167" s="467">
        <f t="shared" si="150"/>
        <v>252543.999999984</v>
      </c>
      <c r="J167" s="467">
        <v>200000</v>
      </c>
      <c r="K167" s="467">
        <v>0.2</v>
      </c>
      <c r="L167" s="467">
        <f t="shared" si="151"/>
        <v>50508.7999999967</v>
      </c>
      <c r="M167" s="467">
        <f t="shared" si="152"/>
        <v>250508.799999997</v>
      </c>
      <c r="N167" s="467">
        <f t="shared" si="153"/>
        <v>250508.799999997</v>
      </c>
      <c r="O167" s="467">
        <f t="shared" si="154"/>
        <v>2035.19999998697</v>
      </c>
      <c r="P167" s="467">
        <f t="shared" si="155"/>
        <v>142.463999999088</v>
      </c>
      <c r="Q167" s="467">
        <f t="shared" si="156"/>
        <v>0</v>
      </c>
      <c r="R167" s="467">
        <f t="shared" si="157"/>
        <v>0</v>
      </c>
      <c r="S167" s="467">
        <f t="shared" si="158"/>
        <v>0</v>
      </c>
      <c r="T167" s="467">
        <f t="shared" si="159"/>
        <v>0</v>
      </c>
      <c r="U167" s="467"/>
      <c r="V167" s="467">
        <f t="shared" si="160"/>
        <v>142.463999999088</v>
      </c>
      <c r="W167" s="474">
        <v>12</v>
      </c>
      <c r="X167" s="467">
        <f t="shared" si="161"/>
        <v>11.871999999924</v>
      </c>
      <c r="Y167" s="470"/>
      <c r="Z167" s="467">
        <f t="shared" si="162"/>
        <v>11.871999999924</v>
      </c>
      <c r="AA167" s="479">
        <v>11232.4576266667</v>
      </c>
      <c r="AB167" s="479">
        <f t="shared" si="148"/>
        <v>-11220.5856266668</v>
      </c>
      <c r="AC167" s="479"/>
      <c r="AD167" s="479"/>
      <c r="AE167" s="479"/>
    </row>
    <row r="168" ht="18" spans="1:31">
      <c r="A168" s="464">
        <v>146</v>
      </c>
      <c r="B168" s="11" t="s">
        <v>570</v>
      </c>
      <c r="C168" s="467">
        <v>21045.333333332</v>
      </c>
      <c r="D168" s="466">
        <v>12</v>
      </c>
      <c r="E168" s="467">
        <f t="shared" si="149"/>
        <v>252543.999999984</v>
      </c>
      <c r="F168" s="467"/>
      <c r="G168" s="468"/>
      <c r="H168" s="470"/>
      <c r="I168" s="467">
        <f t="shared" si="150"/>
        <v>252543.999999984</v>
      </c>
      <c r="J168" s="467">
        <v>200000</v>
      </c>
      <c r="K168" s="467">
        <v>0.2</v>
      </c>
      <c r="L168" s="467">
        <f t="shared" si="151"/>
        <v>50508.7999999967</v>
      </c>
      <c r="M168" s="467">
        <f t="shared" si="152"/>
        <v>250508.799999997</v>
      </c>
      <c r="N168" s="467">
        <f t="shared" si="153"/>
        <v>250508.799999997</v>
      </c>
      <c r="O168" s="467">
        <f t="shared" si="154"/>
        <v>2035.19999998697</v>
      </c>
      <c r="P168" s="467">
        <f t="shared" si="155"/>
        <v>142.463999999088</v>
      </c>
      <c r="Q168" s="467">
        <f t="shared" si="156"/>
        <v>0</v>
      </c>
      <c r="R168" s="467">
        <f t="shared" si="157"/>
        <v>0</v>
      </c>
      <c r="S168" s="467">
        <f t="shared" si="158"/>
        <v>0</v>
      </c>
      <c r="T168" s="467">
        <f t="shared" si="159"/>
        <v>0</v>
      </c>
      <c r="U168" s="467"/>
      <c r="V168" s="467">
        <f t="shared" si="160"/>
        <v>142.463999999088</v>
      </c>
      <c r="W168" s="474">
        <v>12</v>
      </c>
      <c r="X168" s="467">
        <f t="shared" si="161"/>
        <v>11.871999999924</v>
      </c>
      <c r="Y168" s="470"/>
      <c r="Z168" s="467">
        <f t="shared" si="162"/>
        <v>11.871999999924</v>
      </c>
      <c r="AA168" s="479">
        <v>10776.4576266667</v>
      </c>
      <c r="AB168" s="479">
        <f t="shared" si="148"/>
        <v>-10764.5856266668</v>
      </c>
      <c r="AC168" s="479"/>
      <c r="AD168" s="479"/>
      <c r="AE168" s="479"/>
    </row>
    <row r="169" ht="18" spans="1:31">
      <c r="A169" s="464">
        <v>147</v>
      </c>
      <c r="B169" s="11" t="s">
        <v>365</v>
      </c>
      <c r="C169" s="467">
        <v>21045.333333332</v>
      </c>
      <c r="D169" s="466">
        <v>12</v>
      </c>
      <c r="E169" s="467">
        <f t="shared" si="149"/>
        <v>252543.999999984</v>
      </c>
      <c r="F169" s="467"/>
      <c r="G169" s="468"/>
      <c r="H169" s="470"/>
      <c r="I169" s="467">
        <f t="shared" si="150"/>
        <v>252543.999999984</v>
      </c>
      <c r="J169" s="467">
        <v>200000</v>
      </c>
      <c r="K169" s="467">
        <v>0.2</v>
      </c>
      <c r="L169" s="467">
        <f t="shared" si="151"/>
        <v>50508.7999999967</v>
      </c>
      <c r="M169" s="467">
        <f t="shared" si="152"/>
        <v>250508.799999997</v>
      </c>
      <c r="N169" s="467">
        <f t="shared" si="153"/>
        <v>250508.799999997</v>
      </c>
      <c r="O169" s="467">
        <f t="shared" si="154"/>
        <v>2035.19999998697</v>
      </c>
      <c r="P169" s="467">
        <f t="shared" si="155"/>
        <v>142.463999999088</v>
      </c>
      <c r="Q169" s="467">
        <f t="shared" si="156"/>
        <v>0</v>
      </c>
      <c r="R169" s="467">
        <f t="shared" si="157"/>
        <v>0</v>
      </c>
      <c r="S169" s="467">
        <f t="shared" si="158"/>
        <v>0</v>
      </c>
      <c r="T169" s="467">
        <f t="shared" si="159"/>
        <v>0</v>
      </c>
      <c r="U169" s="467"/>
      <c r="V169" s="467">
        <f t="shared" si="160"/>
        <v>142.463999999088</v>
      </c>
      <c r="W169" s="474">
        <v>12</v>
      </c>
      <c r="X169" s="467">
        <f t="shared" si="161"/>
        <v>11.871999999924</v>
      </c>
      <c r="Y169" s="470"/>
      <c r="Z169" s="467">
        <f t="shared" si="162"/>
        <v>11.871999999924</v>
      </c>
      <c r="AA169" s="479">
        <v>11232.4576266667</v>
      </c>
      <c r="AB169" s="479">
        <f t="shared" si="148"/>
        <v>-11220.5856266668</v>
      </c>
      <c r="AC169" s="479"/>
      <c r="AD169" s="479"/>
      <c r="AE169" s="479"/>
    </row>
    <row r="170" ht="18" spans="1:31">
      <c r="A170" s="464">
        <v>148</v>
      </c>
      <c r="B170" s="11" t="s">
        <v>366</v>
      </c>
      <c r="C170" s="467">
        <v>21045.333333332</v>
      </c>
      <c r="D170" s="466">
        <v>12</v>
      </c>
      <c r="E170" s="467">
        <f t="shared" si="149"/>
        <v>252543.999999984</v>
      </c>
      <c r="F170" s="467"/>
      <c r="G170" s="468"/>
      <c r="H170" s="470"/>
      <c r="I170" s="467">
        <f t="shared" si="150"/>
        <v>252543.999999984</v>
      </c>
      <c r="J170" s="467">
        <v>200000</v>
      </c>
      <c r="K170" s="467">
        <v>0.2</v>
      </c>
      <c r="L170" s="467">
        <f t="shared" si="151"/>
        <v>50508.7999999967</v>
      </c>
      <c r="M170" s="467">
        <f t="shared" si="152"/>
        <v>250508.799999997</v>
      </c>
      <c r="N170" s="467">
        <f t="shared" si="153"/>
        <v>250508.799999997</v>
      </c>
      <c r="O170" s="467">
        <f t="shared" si="154"/>
        <v>2035.19999998697</v>
      </c>
      <c r="P170" s="467">
        <f t="shared" si="155"/>
        <v>142.463999999088</v>
      </c>
      <c r="Q170" s="467">
        <f t="shared" si="156"/>
        <v>0</v>
      </c>
      <c r="R170" s="467">
        <f t="shared" si="157"/>
        <v>0</v>
      </c>
      <c r="S170" s="467">
        <f t="shared" si="158"/>
        <v>0</v>
      </c>
      <c r="T170" s="467">
        <f t="shared" si="159"/>
        <v>0</v>
      </c>
      <c r="U170" s="467"/>
      <c r="V170" s="467">
        <f t="shared" si="160"/>
        <v>142.463999999088</v>
      </c>
      <c r="W170" s="474">
        <v>12</v>
      </c>
      <c r="X170" s="467">
        <f t="shared" si="161"/>
        <v>11.871999999924</v>
      </c>
      <c r="Y170" s="470"/>
      <c r="Z170" s="467">
        <f t="shared" si="162"/>
        <v>11.871999999924</v>
      </c>
      <c r="AA170" s="479">
        <v>10776.4576266667</v>
      </c>
      <c r="AB170" s="479">
        <f t="shared" si="148"/>
        <v>-10764.5856266668</v>
      </c>
      <c r="AC170" s="479"/>
      <c r="AD170" s="479"/>
      <c r="AE170" s="479"/>
    </row>
    <row r="171" ht="18" spans="1:31">
      <c r="A171" s="464">
        <v>149</v>
      </c>
      <c r="B171" s="11" t="s">
        <v>367</v>
      </c>
      <c r="C171" s="467">
        <v>21045.333333336</v>
      </c>
      <c r="D171" s="466">
        <v>12</v>
      </c>
      <c r="E171" s="467">
        <f t="shared" si="149"/>
        <v>252544.000000033</v>
      </c>
      <c r="F171" s="467"/>
      <c r="G171" s="468"/>
      <c r="H171" s="470"/>
      <c r="I171" s="467">
        <f t="shared" si="150"/>
        <v>252544.000000033</v>
      </c>
      <c r="J171" s="467">
        <v>200000</v>
      </c>
      <c r="K171" s="467">
        <v>0.2</v>
      </c>
      <c r="L171" s="467">
        <f t="shared" si="151"/>
        <v>50508.8000000065</v>
      </c>
      <c r="M171" s="467">
        <f t="shared" si="152"/>
        <v>250508.800000007</v>
      </c>
      <c r="N171" s="467">
        <f t="shared" si="153"/>
        <v>250508.800000007</v>
      </c>
      <c r="O171" s="467">
        <f t="shared" si="154"/>
        <v>2035.20000002609</v>
      </c>
      <c r="P171" s="467">
        <f t="shared" si="155"/>
        <v>142.464000001826</v>
      </c>
      <c r="Q171" s="467">
        <f t="shared" si="156"/>
        <v>0</v>
      </c>
      <c r="R171" s="467">
        <f t="shared" si="157"/>
        <v>0</v>
      </c>
      <c r="S171" s="467">
        <f t="shared" si="158"/>
        <v>0</v>
      </c>
      <c r="T171" s="467">
        <f t="shared" si="159"/>
        <v>0</v>
      </c>
      <c r="U171" s="467"/>
      <c r="V171" s="467">
        <f t="shared" si="160"/>
        <v>142.464000001826</v>
      </c>
      <c r="W171" s="474">
        <v>12</v>
      </c>
      <c r="X171" s="467">
        <f t="shared" si="161"/>
        <v>11.8720000001522</v>
      </c>
      <c r="Y171" s="470"/>
      <c r="Z171" s="467">
        <f t="shared" si="162"/>
        <v>11.8720000001522</v>
      </c>
      <c r="AA171" s="479">
        <v>10776.4576266667</v>
      </c>
      <c r="AB171" s="479">
        <f t="shared" si="148"/>
        <v>-10764.5856266665</v>
      </c>
      <c r="AC171" s="479"/>
      <c r="AD171" s="479"/>
      <c r="AE171" s="479"/>
    </row>
    <row r="172" ht="18" spans="1:31">
      <c r="A172" s="464">
        <v>150</v>
      </c>
      <c r="B172" s="11" t="s">
        <v>369</v>
      </c>
      <c r="C172" s="467">
        <v>21045.333333336</v>
      </c>
      <c r="D172" s="466">
        <v>12</v>
      </c>
      <c r="E172" s="467">
        <f t="shared" si="149"/>
        <v>252544.000000033</v>
      </c>
      <c r="F172" s="467"/>
      <c r="G172" s="468"/>
      <c r="H172" s="470"/>
      <c r="I172" s="467">
        <f t="shared" si="150"/>
        <v>252544.000000033</v>
      </c>
      <c r="J172" s="467">
        <v>200000</v>
      </c>
      <c r="K172" s="467">
        <v>0.2</v>
      </c>
      <c r="L172" s="467">
        <f t="shared" si="151"/>
        <v>50508.8000000065</v>
      </c>
      <c r="M172" s="467">
        <f t="shared" si="152"/>
        <v>250508.800000007</v>
      </c>
      <c r="N172" s="467">
        <f t="shared" si="153"/>
        <v>250508.800000007</v>
      </c>
      <c r="O172" s="467">
        <f t="shared" si="154"/>
        <v>2035.20000002609</v>
      </c>
      <c r="P172" s="467">
        <f t="shared" si="155"/>
        <v>142.464000001826</v>
      </c>
      <c r="Q172" s="467">
        <f t="shared" si="156"/>
        <v>0</v>
      </c>
      <c r="R172" s="467">
        <f t="shared" si="157"/>
        <v>0</v>
      </c>
      <c r="S172" s="467">
        <f t="shared" si="158"/>
        <v>0</v>
      </c>
      <c r="T172" s="467">
        <f t="shared" si="159"/>
        <v>0</v>
      </c>
      <c r="U172" s="467"/>
      <c r="V172" s="467">
        <f t="shared" si="160"/>
        <v>142.464000001826</v>
      </c>
      <c r="W172" s="474">
        <v>12</v>
      </c>
      <c r="X172" s="467">
        <f t="shared" si="161"/>
        <v>11.8720000001522</v>
      </c>
      <c r="Y172" s="470"/>
      <c r="Z172" s="467">
        <f t="shared" si="162"/>
        <v>11.8720000001522</v>
      </c>
      <c r="AA172" s="479">
        <v>11232.4576266667</v>
      </c>
      <c r="AB172" s="479">
        <f t="shared" si="148"/>
        <v>-11220.5856266665</v>
      </c>
      <c r="AC172" s="479"/>
      <c r="AD172" s="479"/>
      <c r="AE172" s="479"/>
    </row>
    <row r="173" ht="18" spans="1:31">
      <c r="A173" s="464">
        <v>151</v>
      </c>
      <c r="B173" s="14" t="s">
        <v>370</v>
      </c>
      <c r="C173" s="467">
        <v>21045.333333336</v>
      </c>
      <c r="D173" s="466">
        <v>12</v>
      </c>
      <c r="E173" s="467">
        <f t="shared" si="149"/>
        <v>252544.000000033</v>
      </c>
      <c r="F173" s="467"/>
      <c r="G173" s="468"/>
      <c r="H173" s="470"/>
      <c r="I173" s="467">
        <f t="shared" si="150"/>
        <v>252544.000000033</v>
      </c>
      <c r="J173" s="467">
        <v>200000</v>
      </c>
      <c r="K173" s="467">
        <v>0.2</v>
      </c>
      <c r="L173" s="467">
        <f t="shared" si="151"/>
        <v>50508.8000000065</v>
      </c>
      <c r="M173" s="467">
        <f t="shared" si="152"/>
        <v>250508.800000007</v>
      </c>
      <c r="N173" s="467">
        <f t="shared" si="153"/>
        <v>250508.800000007</v>
      </c>
      <c r="O173" s="467">
        <f t="shared" si="154"/>
        <v>2035.20000002609</v>
      </c>
      <c r="P173" s="467">
        <f t="shared" si="155"/>
        <v>142.464000001826</v>
      </c>
      <c r="Q173" s="467">
        <f t="shared" si="156"/>
        <v>0</v>
      </c>
      <c r="R173" s="467">
        <f t="shared" si="157"/>
        <v>0</v>
      </c>
      <c r="S173" s="467">
        <f t="shared" si="158"/>
        <v>0</v>
      </c>
      <c r="T173" s="467">
        <f t="shared" si="159"/>
        <v>0</v>
      </c>
      <c r="U173" s="467"/>
      <c r="V173" s="467">
        <f t="shared" si="160"/>
        <v>142.464000001826</v>
      </c>
      <c r="W173" s="474">
        <v>12</v>
      </c>
      <c r="X173" s="467">
        <f t="shared" si="161"/>
        <v>11.8720000001522</v>
      </c>
      <c r="Y173" s="470"/>
      <c r="Z173" s="467">
        <f t="shared" si="162"/>
        <v>11.8720000001522</v>
      </c>
      <c r="AA173" s="479">
        <v>9152.59979</v>
      </c>
      <c r="AB173" s="479">
        <f t="shared" si="148"/>
        <v>-9140.72778999985</v>
      </c>
      <c r="AC173" s="479"/>
      <c r="AD173" s="479"/>
      <c r="AE173" s="479"/>
    </row>
    <row r="174" ht="18" spans="1:31">
      <c r="A174" s="464">
        <v>152</v>
      </c>
      <c r="B174" s="11" t="s">
        <v>371</v>
      </c>
      <c r="C174" s="467">
        <v>21045.333333336</v>
      </c>
      <c r="D174" s="466">
        <v>12</v>
      </c>
      <c r="E174" s="467">
        <f t="shared" si="149"/>
        <v>252544.000000033</v>
      </c>
      <c r="F174" s="467"/>
      <c r="G174" s="468"/>
      <c r="H174" s="470"/>
      <c r="I174" s="467">
        <f t="shared" si="150"/>
        <v>252544.000000033</v>
      </c>
      <c r="J174" s="467">
        <v>200000</v>
      </c>
      <c r="K174" s="467">
        <v>0.2</v>
      </c>
      <c r="L174" s="467">
        <f t="shared" si="151"/>
        <v>50508.8000000065</v>
      </c>
      <c r="M174" s="467">
        <f t="shared" si="152"/>
        <v>250508.800000007</v>
      </c>
      <c r="N174" s="467">
        <f t="shared" si="153"/>
        <v>250508.800000007</v>
      </c>
      <c r="O174" s="467">
        <f t="shared" si="154"/>
        <v>2035.20000002609</v>
      </c>
      <c r="P174" s="467">
        <f t="shared" si="155"/>
        <v>142.464000001826</v>
      </c>
      <c r="Q174" s="467">
        <f t="shared" si="156"/>
        <v>0</v>
      </c>
      <c r="R174" s="467">
        <f t="shared" si="157"/>
        <v>0</v>
      </c>
      <c r="S174" s="467">
        <f t="shared" si="158"/>
        <v>0</v>
      </c>
      <c r="T174" s="467">
        <f t="shared" si="159"/>
        <v>0</v>
      </c>
      <c r="U174" s="467"/>
      <c r="V174" s="467">
        <f t="shared" si="160"/>
        <v>142.464000001826</v>
      </c>
      <c r="W174" s="474">
        <v>12</v>
      </c>
      <c r="X174" s="467">
        <f t="shared" si="161"/>
        <v>11.8720000001522</v>
      </c>
      <c r="Y174" s="470"/>
      <c r="Z174" s="467">
        <f t="shared" si="162"/>
        <v>11.8720000001522</v>
      </c>
      <c r="AA174" s="479">
        <v>9152.59979</v>
      </c>
      <c r="AB174" s="479">
        <f t="shared" si="148"/>
        <v>-9140.72778999985</v>
      </c>
      <c r="AC174" s="479"/>
      <c r="AD174" s="479"/>
      <c r="AE174" s="479"/>
    </row>
    <row r="175" ht="18" spans="1:31">
      <c r="A175" s="464">
        <v>153</v>
      </c>
      <c r="B175" s="18" t="s">
        <v>372</v>
      </c>
      <c r="C175" s="467">
        <v>21045.333333336</v>
      </c>
      <c r="D175" s="466">
        <v>12</v>
      </c>
      <c r="E175" s="467">
        <f t="shared" si="149"/>
        <v>252544.000000033</v>
      </c>
      <c r="F175" s="467"/>
      <c r="G175" s="468"/>
      <c r="H175" s="470"/>
      <c r="I175" s="467">
        <f t="shared" si="150"/>
        <v>252544.000000033</v>
      </c>
      <c r="J175" s="467">
        <v>200000</v>
      </c>
      <c r="K175" s="467">
        <v>0.2</v>
      </c>
      <c r="L175" s="467">
        <f t="shared" si="151"/>
        <v>50508.8000000065</v>
      </c>
      <c r="M175" s="467">
        <f t="shared" si="152"/>
        <v>250508.800000007</v>
      </c>
      <c r="N175" s="467">
        <f t="shared" si="153"/>
        <v>250508.800000007</v>
      </c>
      <c r="O175" s="467">
        <f t="shared" si="154"/>
        <v>2035.20000002609</v>
      </c>
      <c r="P175" s="467">
        <f t="shared" si="155"/>
        <v>142.464000001826</v>
      </c>
      <c r="Q175" s="467">
        <f t="shared" si="156"/>
        <v>0</v>
      </c>
      <c r="R175" s="467">
        <f t="shared" si="157"/>
        <v>0</v>
      </c>
      <c r="S175" s="467">
        <f t="shared" si="158"/>
        <v>0</v>
      </c>
      <c r="T175" s="467">
        <f t="shared" si="159"/>
        <v>0</v>
      </c>
      <c r="U175" s="467"/>
      <c r="V175" s="467">
        <f t="shared" si="160"/>
        <v>142.464000001826</v>
      </c>
      <c r="W175" s="474">
        <v>12</v>
      </c>
      <c r="X175" s="467">
        <f t="shared" si="161"/>
        <v>11.8720000001522</v>
      </c>
      <c r="Y175" s="470"/>
      <c r="Z175" s="467">
        <f t="shared" si="162"/>
        <v>11.8720000001522</v>
      </c>
      <c r="AA175" s="479">
        <v>9504.20414</v>
      </c>
      <c r="AB175" s="479">
        <f t="shared" si="148"/>
        <v>-9492.33213999985</v>
      </c>
      <c r="AC175" s="479"/>
      <c r="AD175" s="479"/>
      <c r="AE175" s="479"/>
    </row>
    <row r="176" ht="29.25" customHeight="1" spans="1:31">
      <c r="A176" s="464">
        <v>154</v>
      </c>
      <c r="B176" s="18" t="s">
        <v>359</v>
      </c>
      <c r="C176" s="467">
        <v>21045.333333336</v>
      </c>
      <c r="D176" s="466">
        <v>12</v>
      </c>
      <c r="E176" s="467">
        <f t="shared" si="149"/>
        <v>252544.000000033</v>
      </c>
      <c r="F176" s="467"/>
      <c r="G176" s="468"/>
      <c r="H176" s="470"/>
      <c r="I176" s="467">
        <f t="shared" si="150"/>
        <v>252544.000000033</v>
      </c>
      <c r="J176" s="467">
        <v>200000</v>
      </c>
      <c r="K176" s="467">
        <v>0.2</v>
      </c>
      <c r="L176" s="467">
        <f t="shared" si="151"/>
        <v>50508.8000000065</v>
      </c>
      <c r="M176" s="467">
        <f t="shared" si="152"/>
        <v>250508.800000007</v>
      </c>
      <c r="N176" s="467">
        <f t="shared" si="153"/>
        <v>250508.800000007</v>
      </c>
      <c r="O176" s="467">
        <f t="shared" si="154"/>
        <v>2035.20000002609</v>
      </c>
      <c r="P176" s="467">
        <f t="shared" si="155"/>
        <v>142.464000001826</v>
      </c>
      <c r="Q176" s="467">
        <f t="shared" si="156"/>
        <v>0</v>
      </c>
      <c r="R176" s="467">
        <f t="shared" si="157"/>
        <v>0</v>
      </c>
      <c r="S176" s="467">
        <f t="shared" si="158"/>
        <v>0</v>
      </c>
      <c r="T176" s="467">
        <f t="shared" si="159"/>
        <v>0</v>
      </c>
      <c r="U176" s="467"/>
      <c r="V176" s="467">
        <f t="shared" si="160"/>
        <v>142.464000001826</v>
      </c>
      <c r="W176" s="474">
        <v>12</v>
      </c>
      <c r="X176" s="467">
        <f t="shared" si="161"/>
        <v>11.8720000001522</v>
      </c>
      <c r="Y176" s="470"/>
      <c r="Z176" s="467">
        <f t="shared" si="162"/>
        <v>11.8720000001522</v>
      </c>
      <c r="AA176" s="479">
        <v>4365.33075466667</v>
      </c>
      <c r="AB176" s="479">
        <f t="shared" si="148"/>
        <v>-4353.45875466652</v>
      </c>
      <c r="AC176" s="479"/>
      <c r="AD176" s="479"/>
      <c r="AE176" s="479"/>
    </row>
    <row r="177" ht="36" spans="1:31">
      <c r="A177" s="464">
        <v>155</v>
      </c>
      <c r="B177" s="11" t="s">
        <v>373</v>
      </c>
      <c r="C177" s="467">
        <v>21045.333333332</v>
      </c>
      <c r="D177" s="466">
        <v>12</v>
      </c>
      <c r="E177" s="467">
        <f t="shared" si="149"/>
        <v>252543.999999984</v>
      </c>
      <c r="F177" s="467"/>
      <c r="G177" s="468"/>
      <c r="H177" s="470"/>
      <c r="I177" s="467">
        <f t="shared" si="150"/>
        <v>252543.999999984</v>
      </c>
      <c r="J177" s="467">
        <v>200000</v>
      </c>
      <c r="K177" s="467">
        <v>0.2</v>
      </c>
      <c r="L177" s="467">
        <f t="shared" si="151"/>
        <v>50508.7999999967</v>
      </c>
      <c r="M177" s="467">
        <f t="shared" si="152"/>
        <v>250508.799999997</v>
      </c>
      <c r="N177" s="467">
        <f t="shared" si="153"/>
        <v>250508.799999997</v>
      </c>
      <c r="O177" s="467">
        <f t="shared" si="154"/>
        <v>2035.19999998697</v>
      </c>
      <c r="P177" s="467">
        <f t="shared" si="155"/>
        <v>142.463999999088</v>
      </c>
      <c r="Q177" s="467">
        <f t="shared" si="156"/>
        <v>0</v>
      </c>
      <c r="R177" s="467">
        <f t="shared" si="157"/>
        <v>0</v>
      </c>
      <c r="S177" s="467">
        <f t="shared" si="158"/>
        <v>0</v>
      </c>
      <c r="T177" s="467">
        <f t="shared" si="159"/>
        <v>0</v>
      </c>
      <c r="U177" s="467"/>
      <c r="V177" s="467">
        <f t="shared" si="160"/>
        <v>142.463999999088</v>
      </c>
      <c r="W177" s="474">
        <v>12</v>
      </c>
      <c r="X177" s="467">
        <f t="shared" si="161"/>
        <v>11.871999999924</v>
      </c>
      <c r="Y177" s="470"/>
      <c r="Z177" s="467">
        <f t="shared" si="162"/>
        <v>11.871999999924</v>
      </c>
      <c r="AA177" s="479">
        <v>4227.52372266667</v>
      </c>
      <c r="AB177" s="479">
        <f t="shared" si="148"/>
        <v>-4215.65172266675</v>
      </c>
      <c r="AC177" s="479"/>
      <c r="AD177" s="479"/>
      <c r="AE177" s="479"/>
    </row>
    <row r="178" ht="18" spans="1:31">
      <c r="A178" s="464">
        <v>156</v>
      </c>
      <c r="B178" s="11" t="s">
        <v>376</v>
      </c>
      <c r="C178" s="467">
        <v>21045.333333332</v>
      </c>
      <c r="D178" s="466">
        <v>12</v>
      </c>
      <c r="E178" s="467">
        <f t="shared" si="149"/>
        <v>252543.999999984</v>
      </c>
      <c r="F178" s="467"/>
      <c r="G178" s="468"/>
      <c r="H178" s="470"/>
      <c r="I178" s="467">
        <f t="shared" si="150"/>
        <v>252543.999999984</v>
      </c>
      <c r="J178" s="467">
        <v>200000</v>
      </c>
      <c r="K178" s="467">
        <v>0.2</v>
      </c>
      <c r="L178" s="467">
        <f t="shared" si="151"/>
        <v>50508.7999999967</v>
      </c>
      <c r="M178" s="467">
        <f t="shared" si="152"/>
        <v>250508.799999997</v>
      </c>
      <c r="N178" s="467">
        <f t="shared" si="153"/>
        <v>250508.799999997</v>
      </c>
      <c r="O178" s="467">
        <f t="shared" si="154"/>
        <v>2035.19999998697</v>
      </c>
      <c r="P178" s="467">
        <f t="shared" si="155"/>
        <v>142.463999999088</v>
      </c>
      <c r="Q178" s="467">
        <f t="shared" si="156"/>
        <v>0</v>
      </c>
      <c r="R178" s="467">
        <f t="shared" si="157"/>
        <v>0</v>
      </c>
      <c r="S178" s="467">
        <f t="shared" si="158"/>
        <v>0</v>
      </c>
      <c r="T178" s="467">
        <f t="shared" si="159"/>
        <v>0</v>
      </c>
      <c r="U178" s="467"/>
      <c r="V178" s="467">
        <f t="shared" si="160"/>
        <v>142.463999999088</v>
      </c>
      <c r="W178" s="474">
        <v>12</v>
      </c>
      <c r="X178" s="467">
        <f t="shared" si="161"/>
        <v>11.871999999924</v>
      </c>
      <c r="Y178" s="470"/>
      <c r="Z178" s="467">
        <f t="shared" si="162"/>
        <v>11.871999999924</v>
      </c>
      <c r="AA178" s="479">
        <v>3963.52372266667</v>
      </c>
      <c r="AB178" s="479">
        <f t="shared" si="148"/>
        <v>-3951.65172266675</v>
      </c>
      <c r="AC178" s="479"/>
      <c r="AD178" s="479"/>
      <c r="AE178" s="479"/>
    </row>
    <row r="179" ht="18" spans="1:31">
      <c r="A179" s="464">
        <v>157</v>
      </c>
      <c r="B179" s="18" t="s">
        <v>377</v>
      </c>
      <c r="C179" s="467">
        <v>21045.333333332</v>
      </c>
      <c r="D179" s="466">
        <v>12</v>
      </c>
      <c r="E179" s="467">
        <f t="shared" si="149"/>
        <v>252543.999999984</v>
      </c>
      <c r="F179" s="467"/>
      <c r="G179" s="468"/>
      <c r="H179" s="470"/>
      <c r="I179" s="467">
        <f t="shared" si="150"/>
        <v>252543.999999984</v>
      </c>
      <c r="J179" s="467">
        <v>200000</v>
      </c>
      <c r="K179" s="467">
        <v>0.2</v>
      </c>
      <c r="L179" s="467">
        <f t="shared" si="151"/>
        <v>50508.7999999967</v>
      </c>
      <c r="M179" s="467">
        <f t="shared" si="152"/>
        <v>250508.799999997</v>
      </c>
      <c r="N179" s="467">
        <f t="shared" si="153"/>
        <v>250508.799999997</v>
      </c>
      <c r="O179" s="467">
        <f t="shared" si="154"/>
        <v>2035.19999998697</v>
      </c>
      <c r="P179" s="467">
        <f t="shared" si="155"/>
        <v>142.463999999088</v>
      </c>
      <c r="Q179" s="467">
        <f t="shared" si="156"/>
        <v>0</v>
      </c>
      <c r="R179" s="467">
        <f t="shared" si="157"/>
        <v>0</v>
      </c>
      <c r="S179" s="467">
        <f t="shared" si="158"/>
        <v>0</v>
      </c>
      <c r="T179" s="467">
        <f t="shared" si="159"/>
        <v>0</v>
      </c>
      <c r="U179" s="467"/>
      <c r="V179" s="467">
        <f t="shared" si="160"/>
        <v>142.463999999088</v>
      </c>
      <c r="W179" s="474">
        <v>12</v>
      </c>
      <c r="X179" s="467">
        <f t="shared" si="161"/>
        <v>11.871999999924</v>
      </c>
      <c r="Y179" s="470"/>
      <c r="Z179" s="467">
        <f t="shared" si="162"/>
        <v>11.871999999924</v>
      </c>
      <c r="AA179" s="479">
        <v>4227.52372266667</v>
      </c>
      <c r="AB179" s="479">
        <f t="shared" si="148"/>
        <v>-4215.65172266675</v>
      </c>
      <c r="AC179" s="479"/>
      <c r="AD179" s="479"/>
      <c r="AE179" s="479"/>
    </row>
    <row r="180" ht="18" spans="1:31">
      <c r="A180" s="475"/>
      <c r="B180" s="11" t="s">
        <v>379</v>
      </c>
      <c r="C180" s="467"/>
      <c r="D180" s="466"/>
      <c r="E180" s="467"/>
      <c r="F180" s="467"/>
      <c r="G180" s="470"/>
      <c r="H180" s="470"/>
      <c r="I180" s="467"/>
      <c r="J180" s="467"/>
      <c r="K180" s="467"/>
      <c r="L180" s="467"/>
      <c r="M180" s="467"/>
      <c r="N180" s="467"/>
      <c r="O180" s="467"/>
      <c r="P180" s="467"/>
      <c r="Q180" s="467"/>
      <c r="R180" s="467"/>
      <c r="S180" s="467"/>
      <c r="T180" s="467"/>
      <c r="U180" s="467"/>
      <c r="V180" s="467"/>
      <c r="W180" s="474"/>
      <c r="X180" s="467"/>
      <c r="Y180" s="470"/>
      <c r="Z180" s="467"/>
      <c r="AA180" s="479"/>
      <c r="AB180" s="479">
        <f t="shared" si="148"/>
        <v>0</v>
      </c>
      <c r="AC180" s="479"/>
      <c r="AD180" s="479"/>
      <c r="AE180" s="479"/>
    </row>
    <row r="181" ht="18" spans="1:28">
      <c r="A181" s="475"/>
      <c r="B181" s="11" t="s">
        <v>382</v>
      </c>
      <c r="C181" s="483">
        <v>10191</v>
      </c>
      <c r="D181" s="466">
        <v>12</v>
      </c>
      <c r="E181" s="467">
        <f t="shared" si="149"/>
        <v>122292</v>
      </c>
      <c r="F181" s="467"/>
      <c r="G181" s="468"/>
      <c r="H181" s="470"/>
      <c r="I181" s="467">
        <f t="shared" si="150"/>
        <v>122292</v>
      </c>
      <c r="J181" s="467">
        <v>200000</v>
      </c>
      <c r="K181" s="467">
        <v>0.2</v>
      </c>
      <c r="L181" s="467">
        <f t="shared" si="151"/>
        <v>24458.4</v>
      </c>
      <c r="M181" s="467">
        <f t="shared" si="152"/>
        <v>224458.4</v>
      </c>
      <c r="N181" s="467">
        <f t="shared" si="153"/>
        <v>224458.4</v>
      </c>
      <c r="O181" s="467">
        <f t="shared" si="154"/>
        <v>-102166.4</v>
      </c>
      <c r="P181" s="467">
        <f t="shared" si="155"/>
        <v>-7151.648</v>
      </c>
      <c r="Q181" s="467">
        <f t="shared" si="156"/>
        <v>0</v>
      </c>
      <c r="R181" s="467">
        <f t="shared" si="157"/>
        <v>0</v>
      </c>
      <c r="S181" s="467">
        <f t="shared" si="158"/>
        <v>0</v>
      </c>
      <c r="T181" s="467">
        <f t="shared" si="159"/>
        <v>0</v>
      </c>
      <c r="U181" s="467"/>
      <c r="V181" s="467">
        <f t="shared" si="160"/>
        <v>-7151.648</v>
      </c>
      <c r="W181" s="474">
        <v>12</v>
      </c>
      <c r="X181" s="467">
        <f t="shared" si="161"/>
        <v>-595.970666666667</v>
      </c>
      <c r="Y181" s="470"/>
      <c r="Z181" s="467">
        <f t="shared" si="162"/>
        <v>-595.970666666667</v>
      </c>
      <c r="AA181" s="479">
        <v>4227.52372266667</v>
      </c>
      <c r="AB181" s="479">
        <f t="shared" si="148"/>
        <v>-4823.49438933334</v>
      </c>
    </row>
    <row r="182" ht="18" spans="2:28">
      <c r="B182" s="11" t="s">
        <v>383</v>
      </c>
      <c r="C182" s="479">
        <v>10191</v>
      </c>
      <c r="D182" s="466">
        <v>12</v>
      </c>
      <c r="E182" s="467">
        <f t="shared" si="149"/>
        <v>122292</v>
      </c>
      <c r="G182" s="468"/>
      <c r="I182" s="467">
        <f t="shared" si="150"/>
        <v>122292</v>
      </c>
      <c r="J182" s="467">
        <v>200000</v>
      </c>
      <c r="K182" s="467">
        <v>0.2</v>
      </c>
      <c r="L182" s="467">
        <f t="shared" si="151"/>
        <v>24458.4</v>
      </c>
      <c r="M182" s="467">
        <f t="shared" si="152"/>
        <v>224458.4</v>
      </c>
      <c r="N182" s="467">
        <f t="shared" si="153"/>
        <v>224458.4</v>
      </c>
      <c r="O182" s="467">
        <f t="shared" si="154"/>
        <v>-102166.4</v>
      </c>
      <c r="P182" s="467">
        <f t="shared" si="155"/>
        <v>-7151.648</v>
      </c>
      <c r="Q182" s="467">
        <f t="shared" si="156"/>
        <v>0</v>
      </c>
      <c r="R182" s="467">
        <f t="shared" si="157"/>
        <v>0</v>
      </c>
      <c r="S182" s="467">
        <f t="shared" si="158"/>
        <v>0</v>
      </c>
      <c r="T182" s="467">
        <f t="shared" si="159"/>
        <v>0</v>
      </c>
      <c r="U182" s="467"/>
      <c r="V182" s="467">
        <f t="shared" si="160"/>
        <v>-7151.648</v>
      </c>
      <c r="W182" s="474">
        <v>12</v>
      </c>
      <c r="X182" s="467">
        <f t="shared" si="161"/>
        <v>-595.970666666667</v>
      </c>
      <c r="Z182" s="467">
        <f t="shared" si="162"/>
        <v>-595.970666666667</v>
      </c>
      <c r="AA182" s="479">
        <v>3963.52372266667</v>
      </c>
      <c r="AB182" s="479">
        <f t="shared" si="148"/>
        <v>-4559.49438933334</v>
      </c>
    </row>
    <row r="183" ht="18" spans="2:28">
      <c r="B183" s="11" t="s">
        <v>384</v>
      </c>
      <c r="C183" s="479">
        <v>10191</v>
      </c>
      <c r="D183" s="466">
        <v>12</v>
      </c>
      <c r="E183" s="467">
        <f t="shared" si="149"/>
        <v>122292</v>
      </c>
      <c r="G183" s="468"/>
      <c r="I183" s="467">
        <f t="shared" si="150"/>
        <v>122292</v>
      </c>
      <c r="J183" s="467">
        <v>200000</v>
      </c>
      <c r="K183" s="467">
        <v>0.2</v>
      </c>
      <c r="L183" s="467">
        <f t="shared" si="151"/>
        <v>24458.4</v>
      </c>
      <c r="M183" s="467">
        <f t="shared" si="152"/>
        <v>224458.4</v>
      </c>
      <c r="N183" s="467">
        <f t="shared" si="153"/>
        <v>224458.4</v>
      </c>
      <c r="O183" s="467">
        <f t="shared" si="154"/>
        <v>-102166.4</v>
      </c>
      <c r="P183" s="467">
        <f t="shared" si="155"/>
        <v>-7151.648</v>
      </c>
      <c r="Q183" s="467">
        <f t="shared" si="156"/>
        <v>0</v>
      </c>
      <c r="R183" s="467">
        <f t="shared" si="157"/>
        <v>0</v>
      </c>
      <c r="S183" s="467">
        <f t="shared" si="158"/>
        <v>0</v>
      </c>
      <c r="T183" s="467">
        <f t="shared" si="159"/>
        <v>0</v>
      </c>
      <c r="U183" s="467"/>
      <c r="V183" s="467">
        <f t="shared" si="160"/>
        <v>-7151.648</v>
      </c>
      <c r="W183" s="474">
        <v>12</v>
      </c>
      <c r="X183" s="467">
        <f t="shared" si="161"/>
        <v>-595.970666666667</v>
      </c>
      <c r="Z183" s="467">
        <f t="shared" si="162"/>
        <v>-595.970666666667</v>
      </c>
      <c r="AA183" s="479">
        <v>4227.52372266667</v>
      </c>
      <c r="AB183" s="479">
        <f t="shared" si="148"/>
        <v>-4823.49438933334</v>
      </c>
    </row>
    <row r="184" ht="18" spans="2:28">
      <c r="B184" s="11" t="s">
        <v>385</v>
      </c>
      <c r="C184" s="479">
        <v>10191</v>
      </c>
      <c r="D184" s="466">
        <v>12</v>
      </c>
      <c r="E184" s="467">
        <f t="shared" si="149"/>
        <v>122292</v>
      </c>
      <c r="G184" s="468"/>
      <c r="I184" s="467">
        <f t="shared" si="150"/>
        <v>122292</v>
      </c>
      <c r="J184" s="467">
        <v>200000</v>
      </c>
      <c r="K184" s="467">
        <v>0.2</v>
      </c>
      <c r="L184" s="467">
        <f t="shared" si="151"/>
        <v>24458.4</v>
      </c>
      <c r="M184" s="467">
        <f t="shared" si="152"/>
        <v>224458.4</v>
      </c>
      <c r="N184" s="467">
        <f t="shared" si="153"/>
        <v>224458.4</v>
      </c>
      <c r="O184" s="467">
        <f t="shared" si="154"/>
        <v>-102166.4</v>
      </c>
      <c r="P184" s="467">
        <f t="shared" si="155"/>
        <v>-7151.648</v>
      </c>
      <c r="Q184" s="467">
        <f t="shared" si="156"/>
        <v>0</v>
      </c>
      <c r="R184" s="467">
        <f t="shared" si="157"/>
        <v>0</v>
      </c>
      <c r="S184" s="467">
        <f t="shared" si="158"/>
        <v>0</v>
      </c>
      <c r="T184" s="467">
        <f t="shared" si="159"/>
        <v>0</v>
      </c>
      <c r="V184" s="467">
        <f t="shared" si="160"/>
        <v>-7151.648</v>
      </c>
      <c r="W184" s="474">
        <v>12</v>
      </c>
      <c r="X184" s="467">
        <f t="shared" si="161"/>
        <v>-595.970666666667</v>
      </c>
      <c r="Z184" s="467">
        <f t="shared" si="162"/>
        <v>-595.970666666667</v>
      </c>
      <c r="AA184" s="479">
        <v>4089.71669066667</v>
      </c>
      <c r="AB184" s="479">
        <f t="shared" si="148"/>
        <v>-4685.68735733334</v>
      </c>
    </row>
    <row r="185" ht="18" spans="2:28">
      <c r="B185" s="11" t="s">
        <v>386</v>
      </c>
      <c r="C185" s="479">
        <v>10191</v>
      </c>
      <c r="D185" s="466">
        <v>12</v>
      </c>
      <c r="E185" s="467">
        <f t="shared" si="149"/>
        <v>122292</v>
      </c>
      <c r="G185" s="468"/>
      <c r="I185" s="467">
        <f t="shared" si="150"/>
        <v>122292</v>
      </c>
      <c r="J185" s="467">
        <v>200000</v>
      </c>
      <c r="K185" s="467">
        <v>0.2</v>
      </c>
      <c r="L185" s="467">
        <f t="shared" si="151"/>
        <v>24458.4</v>
      </c>
      <c r="M185" s="467">
        <f t="shared" si="152"/>
        <v>224458.4</v>
      </c>
      <c r="N185" s="467">
        <f t="shared" si="153"/>
        <v>224458.4</v>
      </c>
      <c r="O185" s="467">
        <f t="shared" si="154"/>
        <v>-102166.4</v>
      </c>
      <c r="P185" s="467">
        <f t="shared" si="155"/>
        <v>-7151.648</v>
      </c>
      <c r="Q185" s="467">
        <f t="shared" si="156"/>
        <v>0</v>
      </c>
      <c r="R185" s="467">
        <f t="shared" si="157"/>
        <v>0</v>
      </c>
      <c r="S185" s="467">
        <f t="shared" si="158"/>
        <v>0</v>
      </c>
      <c r="T185" s="467">
        <f t="shared" si="159"/>
        <v>0</v>
      </c>
      <c r="V185" s="467">
        <f t="shared" si="160"/>
        <v>-7151.648</v>
      </c>
      <c r="W185" s="474">
        <v>12</v>
      </c>
      <c r="X185" s="467">
        <f t="shared" si="161"/>
        <v>-595.970666666667</v>
      </c>
      <c r="Z185" s="467">
        <f t="shared" si="162"/>
        <v>-595.970666666667</v>
      </c>
      <c r="AA185" s="479">
        <v>4227.52372266667</v>
      </c>
      <c r="AB185" s="479">
        <f t="shared" si="148"/>
        <v>-4823.49438933334</v>
      </c>
    </row>
    <row r="186" ht="18" spans="2:28">
      <c r="B186" s="18" t="s">
        <v>387</v>
      </c>
      <c r="C186" s="479">
        <v>10191</v>
      </c>
      <c r="D186" s="466">
        <v>12</v>
      </c>
      <c r="E186" s="467">
        <f t="shared" si="149"/>
        <v>122292</v>
      </c>
      <c r="G186" s="468"/>
      <c r="I186" s="467">
        <f t="shared" si="150"/>
        <v>122292</v>
      </c>
      <c r="J186" s="467">
        <v>200000</v>
      </c>
      <c r="K186" s="467">
        <v>0.2</v>
      </c>
      <c r="L186" s="467">
        <f t="shared" si="151"/>
        <v>24458.4</v>
      </c>
      <c r="M186" s="467">
        <f t="shared" si="152"/>
        <v>224458.4</v>
      </c>
      <c r="N186" s="467">
        <f t="shared" si="153"/>
        <v>224458.4</v>
      </c>
      <c r="O186" s="467">
        <f t="shared" si="154"/>
        <v>-102166.4</v>
      </c>
      <c r="P186" s="467">
        <f t="shared" si="155"/>
        <v>-7151.648</v>
      </c>
      <c r="Q186" s="467">
        <f t="shared" si="156"/>
        <v>0</v>
      </c>
      <c r="R186" s="467">
        <f t="shared" si="157"/>
        <v>0</v>
      </c>
      <c r="S186" s="467">
        <f t="shared" si="158"/>
        <v>0</v>
      </c>
      <c r="T186" s="467">
        <f t="shared" si="159"/>
        <v>0</v>
      </c>
      <c r="V186" s="467">
        <f t="shared" si="160"/>
        <v>-7151.648</v>
      </c>
      <c r="W186" s="474">
        <v>12</v>
      </c>
      <c r="X186" s="467">
        <f t="shared" si="161"/>
        <v>-595.970666666667</v>
      </c>
      <c r="Z186" s="467">
        <f t="shared" si="162"/>
        <v>-595.970666666667</v>
      </c>
      <c r="AA186" s="479">
        <v>4089.71669066667</v>
      </c>
      <c r="AB186" s="479">
        <f t="shared" si="148"/>
        <v>-4685.68735733334</v>
      </c>
    </row>
    <row r="187" ht="18" spans="2:28">
      <c r="B187" s="18" t="s">
        <v>389</v>
      </c>
      <c r="C187" s="479">
        <v>10191</v>
      </c>
      <c r="D187" s="466">
        <v>12</v>
      </c>
      <c r="E187" s="467">
        <f t="shared" si="149"/>
        <v>122292</v>
      </c>
      <c r="G187" s="468"/>
      <c r="I187" s="467">
        <f t="shared" si="150"/>
        <v>122292</v>
      </c>
      <c r="J187" s="467">
        <v>200000</v>
      </c>
      <c r="K187" s="467">
        <v>0.2</v>
      </c>
      <c r="L187" s="467">
        <f t="shared" si="151"/>
        <v>24458.4</v>
      </c>
      <c r="M187" s="467">
        <f t="shared" si="152"/>
        <v>224458.4</v>
      </c>
      <c r="N187" s="467">
        <f t="shared" si="153"/>
        <v>224458.4</v>
      </c>
      <c r="O187" s="467">
        <f t="shared" si="154"/>
        <v>-102166.4</v>
      </c>
      <c r="P187" s="467">
        <f t="shared" si="155"/>
        <v>-7151.648</v>
      </c>
      <c r="Q187" s="467">
        <f t="shared" si="156"/>
        <v>0</v>
      </c>
      <c r="R187" s="467">
        <f t="shared" si="157"/>
        <v>0</v>
      </c>
      <c r="S187" s="467">
        <f t="shared" si="158"/>
        <v>0</v>
      </c>
      <c r="T187" s="467">
        <f t="shared" si="159"/>
        <v>0</v>
      </c>
      <c r="V187" s="467">
        <f t="shared" si="160"/>
        <v>-7151.648</v>
      </c>
      <c r="W187" s="474">
        <v>12</v>
      </c>
      <c r="X187" s="467">
        <f t="shared" si="161"/>
        <v>-595.970666666667</v>
      </c>
      <c r="Z187" s="467">
        <f t="shared" si="162"/>
        <v>-595.970666666667</v>
      </c>
      <c r="AA187" s="479">
        <v>3210.15440486667</v>
      </c>
      <c r="AB187" s="479">
        <f t="shared" si="148"/>
        <v>-3806.12507153334</v>
      </c>
    </row>
    <row r="188" ht="18" spans="2:28">
      <c r="B188" s="11" t="s">
        <v>572</v>
      </c>
      <c r="C188" s="479">
        <v>10191</v>
      </c>
      <c r="D188" s="466">
        <v>12</v>
      </c>
      <c r="E188" s="467">
        <f t="shared" si="149"/>
        <v>122292</v>
      </c>
      <c r="G188" s="468"/>
      <c r="I188" s="467">
        <f t="shared" si="150"/>
        <v>122292</v>
      </c>
      <c r="J188" s="467">
        <v>200000</v>
      </c>
      <c r="K188" s="467">
        <v>0.2</v>
      </c>
      <c r="L188" s="467">
        <f t="shared" si="151"/>
        <v>24458.4</v>
      </c>
      <c r="M188" s="467">
        <f t="shared" si="152"/>
        <v>224458.4</v>
      </c>
      <c r="N188" s="467">
        <f t="shared" si="153"/>
        <v>224458.4</v>
      </c>
      <c r="O188" s="467">
        <f t="shared" si="154"/>
        <v>-102166.4</v>
      </c>
      <c r="P188" s="467">
        <f t="shared" si="155"/>
        <v>-7151.648</v>
      </c>
      <c r="Q188" s="467">
        <f t="shared" si="156"/>
        <v>0</v>
      </c>
      <c r="R188" s="467">
        <f t="shared" si="157"/>
        <v>0</v>
      </c>
      <c r="S188" s="467">
        <f t="shared" si="158"/>
        <v>0</v>
      </c>
      <c r="T188" s="467">
        <f t="shared" si="159"/>
        <v>0</v>
      </c>
      <c r="V188" s="467">
        <f t="shared" si="160"/>
        <v>-7151.648</v>
      </c>
      <c r="W188" s="474">
        <v>12</v>
      </c>
      <c r="X188" s="467">
        <f t="shared" si="161"/>
        <v>-595.970666666667</v>
      </c>
      <c r="Z188" s="467">
        <f t="shared" si="162"/>
        <v>-595.970666666667</v>
      </c>
      <c r="AA188" s="479">
        <v>2708.91364066667</v>
      </c>
      <c r="AB188" s="479">
        <f t="shared" si="148"/>
        <v>-3304.88430733334</v>
      </c>
    </row>
    <row r="189" ht="18" spans="2:28">
      <c r="B189" s="11" t="s">
        <v>392</v>
      </c>
      <c r="C189" s="479">
        <v>10191</v>
      </c>
      <c r="D189" s="466">
        <v>12</v>
      </c>
      <c r="E189" s="467">
        <f t="shared" si="149"/>
        <v>122292</v>
      </c>
      <c r="G189" s="468"/>
      <c r="I189" s="467">
        <f t="shared" si="150"/>
        <v>122292</v>
      </c>
      <c r="J189" s="467">
        <v>200000</v>
      </c>
      <c r="K189" s="467">
        <v>0.2</v>
      </c>
      <c r="L189" s="467">
        <f t="shared" si="151"/>
        <v>24458.4</v>
      </c>
      <c r="M189" s="467">
        <f t="shared" si="152"/>
        <v>224458.4</v>
      </c>
      <c r="N189" s="467">
        <f t="shared" si="153"/>
        <v>224458.4</v>
      </c>
      <c r="O189" s="467">
        <f t="shared" si="154"/>
        <v>-102166.4</v>
      </c>
      <c r="P189" s="467">
        <f t="shared" si="155"/>
        <v>-7151.648</v>
      </c>
      <c r="Q189" s="467">
        <f t="shared" si="156"/>
        <v>0</v>
      </c>
      <c r="R189" s="467">
        <f t="shared" si="157"/>
        <v>0</v>
      </c>
      <c r="S189" s="467">
        <f t="shared" si="158"/>
        <v>0</v>
      </c>
      <c r="T189" s="467">
        <f t="shared" si="159"/>
        <v>0</v>
      </c>
      <c r="V189" s="467">
        <f t="shared" si="160"/>
        <v>-7151.648</v>
      </c>
      <c r="W189" s="474">
        <v>12</v>
      </c>
      <c r="X189" s="467">
        <f t="shared" si="161"/>
        <v>-595.970666666667</v>
      </c>
      <c r="Z189" s="467">
        <f t="shared" si="162"/>
        <v>-595.970666666667</v>
      </c>
      <c r="AA189" s="479">
        <v>2708.91364066667</v>
      </c>
      <c r="AB189" s="479">
        <f t="shared" si="148"/>
        <v>-3304.88430733334</v>
      </c>
    </row>
    <row r="190" ht="18" spans="2:28">
      <c r="B190" s="18" t="s">
        <v>360</v>
      </c>
      <c r="C190" s="479">
        <v>10191</v>
      </c>
      <c r="D190" s="466">
        <v>12</v>
      </c>
      <c r="E190" s="467">
        <f t="shared" si="149"/>
        <v>122292</v>
      </c>
      <c r="G190" s="468"/>
      <c r="I190" s="467">
        <f t="shared" si="150"/>
        <v>122292</v>
      </c>
      <c r="J190" s="467">
        <v>200000</v>
      </c>
      <c r="K190" s="467">
        <v>0.2</v>
      </c>
      <c r="L190" s="467">
        <f t="shared" si="151"/>
        <v>24458.4</v>
      </c>
      <c r="M190" s="467">
        <f t="shared" si="152"/>
        <v>224458.4</v>
      </c>
      <c r="N190" s="467">
        <f t="shared" si="153"/>
        <v>224458.4</v>
      </c>
      <c r="O190" s="467">
        <f t="shared" si="154"/>
        <v>-102166.4</v>
      </c>
      <c r="P190" s="467">
        <f t="shared" si="155"/>
        <v>-7151.648</v>
      </c>
      <c r="Q190" s="467">
        <f t="shared" si="156"/>
        <v>0</v>
      </c>
      <c r="R190" s="467">
        <f t="shared" si="157"/>
        <v>0</v>
      </c>
      <c r="S190" s="467">
        <f t="shared" si="158"/>
        <v>0</v>
      </c>
      <c r="T190" s="467">
        <f t="shared" si="159"/>
        <v>0</v>
      </c>
      <c r="V190" s="467">
        <f t="shared" si="160"/>
        <v>-7151.648</v>
      </c>
      <c r="W190" s="474">
        <v>12</v>
      </c>
      <c r="X190" s="467">
        <f t="shared" si="161"/>
        <v>-595.970666666667</v>
      </c>
      <c r="Z190" s="467">
        <f t="shared" si="162"/>
        <v>-595.970666666667</v>
      </c>
      <c r="AA190" s="479">
        <v>2708.91364066667</v>
      </c>
      <c r="AB190" s="479">
        <f t="shared" si="148"/>
        <v>-3304.88430733334</v>
      </c>
    </row>
    <row r="191" ht="18" spans="2:28">
      <c r="B191" s="18" t="s">
        <v>394</v>
      </c>
      <c r="C191" s="479">
        <v>10190</v>
      </c>
      <c r="D191" s="485">
        <v>12</v>
      </c>
      <c r="E191" s="486">
        <f t="shared" si="149"/>
        <v>122280</v>
      </c>
      <c r="G191" s="487"/>
      <c r="I191" s="486">
        <f t="shared" si="150"/>
        <v>122280</v>
      </c>
      <c r="J191" s="467">
        <v>200000</v>
      </c>
      <c r="K191" s="467">
        <v>0.2</v>
      </c>
      <c r="L191" s="467">
        <f t="shared" si="151"/>
        <v>24456</v>
      </c>
      <c r="M191" s="467">
        <f t="shared" si="152"/>
        <v>224456</v>
      </c>
      <c r="N191" s="467">
        <f t="shared" si="153"/>
        <v>224456</v>
      </c>
      <c r="O191" s="467">
        <f t="shared" si="154"/>
        <v>-102176</v>
      </c>
      <c r="P191" s="467">
        <f t="shared" si="155"/>
        <v>-7152.32</v>
      </c>
      <c r="Q191" s="467">
        <f t="shared" si="156"/>
        <v>0</v>
      </c>
      <c r="R191" s="467">
        <f t="shared" si="157"/>
        <v>0</v>
      </c>
      <c r="S191" s="467">
        <f t="shared" si="158"/>
        <v>0</v>
      </c>
      <c r="T191" s="467">
        <f t="shared" si="159"/>
        <v>0</v>
      </c>
      <c r="V191" s="467">
        <f t="shared" si="160"/>
        <v>-7152.32</v>
      </c>
      <c r="W191" s="474">
        <v>12</v>
      </c>
      <c r="X191" s="467">
        <f t="shared" si="161"/>
        <v>-596.026666666667</v>
      </c>
      <c r="Z191" s="467">
        <f t="shared" si="162"/>
        <v>-596.026666666667</v>
      </c>
      <c r="AA191" s="479">
        <v>3511.79662266667</v>
      </c>
      <c r="AB191" s="479">
        <f t="shared" si="148"/>
        <v>-4107.82328933334</v>
      </c>
    </row>
    <row r="192" ht="18" spans="2:28">
      <c r="B192" s="18" t="s">
        <v>397</v>
      </c>
      <c r="C192" s="467"/>
      <c r="D192" s="466"/>
      <c r="E192" s="467"/>
      <c r="F192" s="467"/>
      <c r="G192" s="470"/>
      <c r="H192" s="470"/>
      <c r="I192" s="46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74"/>
      <c r="X192" s="467"/>
      <c r="Y192" s="470"/>
      <c r="Z192" s="467"/>
      <c r="AA192" s="479"/>
      <c r="AB192" s="479">
        <f t="shared" si="148"/>
        <v>0</v>
      </c>
    </row>
    <row r="193" ht="35.25" customHeight="1" spans="2:28">
      <c r="B193" s="18" t="s">
        <v>401</v>
      </c>
      <c r="C193" s="806">
        <v>8772.3333333332</v>
      </c>
      <c r="D193" s="485">
        <v>12</v>
      </c>
      <c r="E193" s="486">
        <f t="shared" ref="E193:E197" si="163">C193*D193</f>
        <v>105267.999999998</v>
      </c>
      <c r="G193" s="487"/>
      <c r="I193" s="486">
        <f t="shared" ref="I193:I197" si="164">E193-F193-G193-H193</f>
        <v>105267.999999998</v>
      </c>
      <c r="J193" s="467">
        <v>200000</v>
      </c>
      <c r="K193" s="467">
        <v>0.2</v>
      </c>
      <c r="L193" s="467">
        <f t="shared" ref="L193:L197" si="165">I193*K193</f>
        <v>21053.5999999997</v>
      </c>
      <c r="M193" s="467">
        <f t="shared" ref="M193:M197" si="166">J193+L193</f>
        <v>221053.6</v>
      </c>
      <c r="N193" s="467">
        <f t="shared" ref="N193:N197" si="167">F193+G193+H193+M193</f>
        <v>221053.6</v>
      </c>
      <c r="O193" s="467">
        <f t="shared" ref="O193:O197" si="168">E193-N193</f>
        <v>-115785.600000001</v>
      </c>
      <c r="P193" s="467">
        <f t="shared" ref="P193:P197" si="169">IF(O193&lt;300000,0.07*O193,21000)</f>
        <v>-8104.99200000009</v>
      </c>
      <c r="Q193" s="467">
        <f t="shared" ref="Q193:Q197" si="170">IF((O193-300000)&lt;0,0,IF((O193-300000)&lt;300000,0.11*(O193-300000),33000))</f>
        <v>0</v>
      </c>
      <c r="R193" s="467">
        <f t="shared" ref="R193:R197" si="171">IF((O193-600000)&lt;0,0,IF((O193-600000)&lt;500000,0.15*(O193-600000),75000))</f>
        <v>0</v>
      </c>
      <c r="S193" s="467">
        <f t="shared" ref="S193:S197" si="172">IF((O193-1100000)&lt;0,0,IF((O193-1100000)&lt;500000,0.19*(O193-1100000),95000))</f>
        <v>0</v>
      </c>
      <c r="T193" s="467">
        <f t="shared" ref="T193:T197" si="173">IF((O193-1600000)&lt;0,0,IF((O193-1600000)&lt;1600000,0.21*(O193-1600000),336000))</f>
        <v>0</v>
      </c>
      <c r="V193" s="467">
        <f t="shared" ref="V193:V197" si="174">P193+Q193+R193+S193+T193+U193</f>
        <v>-8104.99200000009</v>
      </c>
      <c r="W193" s="474">
        <v>12</v>
      </c>
      <c r="X193" s="467">
        <f t="shared" ref="X193:X197" si="175">V193/W193</f>
        <v>-675.416000000008</v>
      </c>
      <c r="Z193" s="467">
        <f t="shared" ref="Z193:Z197" si="176">X193</f>
        <v>-675.416000000008</v>
      </c>
      <c r="AA193" s="479">
        <v>3511.79662266667</v>
      </c>
      <c r="AB193" s="479">
        <f t="shared" si="148"/>
        <v>-4187.21262266668</v>
      </c>
    </row>
    <row r="194" ht="26.25" customHeight="1" spans="2:28">
      <c r="B194" s="18" t="s">
        <v>404</v>
      </c>
      <c r="C194" s="806">
        <v>8772.3333333332</v>
      </c>
      <c r="D194" s="485">
        <v>12</v>
      </c>
      <c r="E194" s="486">
        <f t="shared" si="163"/>
        <v>105267.999999998</v>
      </c>
      <c r="G194" s="487"/>
      <c r="I194" s="486">
        <f t="shared" si="164"/>
        <v>105267.999999998</v>
      </c>
      <c r="J194" s="467">
        <v>200000</v>
      </c>
      <c r="K194" s="467">
        <v>0.2</v>
      </c>
      <c r="L194" s="467">
        <f t="shared" si="165"/>
        <v>21053.5999999997</v>
      </c>
      <c r="M194" s="467">
        <f t="shared" si="166"/>
        <v>221053.6</v>
      </c>
      <c r="N194" s="467">
        <f t="shared" si="167"/>
        <v>221053.6</v>
      </c>
      <c r="O194" s="467">
        <f t="shared" si="168"/>
        <v>-115785.600000001</v>
      </c>
      <c r="P194" s="467">
        <f t="shared" si="169"/>
        <v>-8104.99200000009</v>
      </c>
      <c r="Q194" s="467">
        <f t="shared" si="170"/>
        <v>0</v>
      </c>
      <c r="R194" s="467">
        <f t="shared" si="171"/>
        <v>0</v>
      </c>
      <c r="S194" s="467">
        <f t="shared" si="172"/>
        <v>0</v>
      </c>
      <c r="T194" s="467">
        <f t="shared" si="173"/>
        <v>0</v>
      </c>
      <c r="V194" s="467">
        <f t="shared" si="174"/>
        <v>-8104.99200000009</v>
      </c>
      <c r="W194" s="474">
        <v>12</v>
      </c>
      <c r="X194" s="467">
        <f t="shared" si="175"/>
        <v>-675.416000000008</v>
      </c>
      <c r="Z194" s="467">
        <f t="shared" si="176"/>
        <v>-675.416000000008</v>
      </c>
      <c r="AA194" s="479">
        <v>3511.79662266667</v>
      </c>
      <c r="AB194" s="479">
        <f t="shared" si="148"/>
        <v>-4187.21262266668</v>
      </c>
    </row>
    <row r="195" ht="18" spans="2:28">
      <c r="B195" s="18" t="s">
        <v>405</v>
      </c>
      <c r="C195" s="807">
        <v>8772.3333333332</v>
      </c>
      <c r="D195" s="485">
        <v>12</v>
      </c>
      <c r="E195" s="486">
        <f t="shared" si="163"/>
        <v>105267.999999998</v>
      </c>
      <c r="G195" s="487"/>
      <c r="I195" s="486">
        <f t="shared" si="164"/>
        <v>105267.999999998</v>
      </c>
      <c r="J195" s="467">
        <v>200000</v>
      </c>
      <c r="K195" s="467">
        <v>0.2</v>
      </c>
      <c r="L195" s="467">
        <f t="shared" si="165"/>
        <v>21053.5999999997</v>
      </c>
      <c r="M195" s="467">
        <f t="shared" si="166"/>
        <v>221053.6</v>
      </c>
      <c r="N195" s="467">
        <f t="shared" si="167"/>
        <v>221053.6</v>
      </c>
      <c r="O195" s="467">
        <f t="shared" si="168"/>
        <v>-115785.600000001</v>
      </c>
      <c r="P195" s="467">
        <f t="shared" si="169"/>
        <v>-8104.99200000009</v>
      </c>
      <c r="Q195" s="467">
        <f t="shared" si="170"/>
        <v>0</v>
      </c>
      <c r="R195" s="467">
        <f t="shared" si="171"/>
        <v>0</v>
      </c>
      <c r="S195" s="467">
        <f t="shared" si="172"/>
        <v>0</v>
      </c>
      <c r="T195" s="467">
        <f t="shared" si="173"/>
        <v>0</v>
      </c>
      <c r="V195" s="467">
        <f t="shared" si="174"/>
        <v>-8104.99200000009</v>
      </c>
      <c r="W195" s="474">
        <v>12</v>
      </c>
      <c r="X195" s="467">
        <f t="shared" si="175"/>
        <v>-675.416000000008</v>
      </c>
      <c r="Z195" s="467">
        <f t="shared" si="176"/>
        <v>-675.416000000008</v>
      </c>
      <c r="AA195" s="479">
        <v>3511.79662266667</v>
      </c>
      <c r="AB195" s="479">
        <f t="shared" si="148"/>
        <v>-4187.21262266668</v>
      </c>
    </row>
    <row r="196" ht="18" spans="2:28">
      <c r="B196" s="18" t="s">
        <v>406</v>
      </c>
      <c r="C196" s="808">
        <v>10191</v>
      </c>
      <c r="D196" s="485">
        <v>12</v>
      </c>
      <c r="E196" s="486">
        <f t="shared" si="163"/>
        <v>122292</v>
      </c>
      <c r="G196" s="487"/>
      <c r="I196" s="486">
        <f t="shared" si="164"/>
        <v>122292</v>
      </c>
      <c r="J196" s="467">
        <v>200000</v>
      </c>
      <c r="K196" s="467">
        <v>0.2</v>
      </c>
      <c r="L196" s="467">
        <f t="shared" si="165"/>
        <v>24458.4</v>
      </c>
      <c r="M196" s="467">
        <f t="shared" si="166"/>
        <v>224458.4</v>
      </c>
      <c r="N196" s="467">
        <f t="shared" si="167"/>
        <v>224458.4</v>
      </c>
      <c r="O196" s="467">
        <f t="shared" si="168"/>
        <v>-102166.4</v>
      </c>
      <c r="P196" s="467">
        <f t="shared" si="169"/>
        <v>-7151.648</v>
      </c>
      <c r="Q196" s="467">
        <f t="shared" si="170"/>
        <v>0</v>
      </c>
      <c r="R196" s="467">
        <f t="shared" si="171"/>
        <v>0</v>
      </c>
      <c r="S196" s="467">
        <f t="shared" si="172"/>
        <v>0</v>
      </c>
      <c r="T196" s="467">
        <f t="shared" si="173"/>
        <v>0</v>
      </c>
      <c r="V196" s="467">
        <f t="shared" si="174"/>
        <v>-7151.648</v>
      </c>
      <c r="W196" s="474">
        <v>12</v>
      </c>
      <c r="X196" s="467">
        <f t="shared" si="175"/>
        <v>-595.970666666667</v>
      </c>
      <c r="Z196" s="467">
        <f t="shared" si="176"/>
        <v>-595.970666666667</v>
      </c>
      <c r="AA196" s="479">
        <v>3511.79662266667</v>
      </c>
      <c r="AB196" s="479">
        <f t="shared" si="148"/>
        <v>-4107.76728933334</v>
      </c>
    </row>
    <row r="197" ht="18" spans="2:28">
      <c r="B197" s="18" t="s">
        <v>409</v>
      </c>
      <c r="C197" s="808">
        <v>10191</v>
      </c>
      <c r="D197" s="485">
        <v>12</v>
      </c>
      <c r="E197" s="486">
        <f t="shared" si="163"/>
        <v>122292</v>
      </c>
      <c r="G197" s="487"/>
      <c r="I197" s="486">
        <f t="shared" si="164"/>
        <v>122292</v>
      </c>
      <c r="J197" s="467">
        <v>200000</v>
      </c>
      <c r="K197" s="467">
        <v>0.2</v>
      </c>
      <c r="L197" s="467">
        <f t="shared" si="165"/>
        <v>24458.4</v>
      </c>
      <c r="M197" s="467">
        <f t="shared" si="166"/>
        <v>224458.4</v>
      </c>
      <c r="N197" s="467">
        <f t="shared" si="167"/>
        <v>224458.4</v>
      </c>
      <c r="O197" s="467">
        <f t="shared" si="168"/>
        <v>-102166.4</v>
      </c>
      <c r="P197" s="467">
        <f t="shared" si="169"/>
        <v>-7151.648</v>
      </c>
      <c r="Q197" s="467">
        <f t="shared" si="170"/>
        <v>0</v>
      </c>
      <c r="R197" s="467">
        <f t="shared" si="171"/>
        <v>0</v>
      </c>
      <c r="S197" s="467">
        <f t="shared" si="172"/>
        <v>0</v>
      </c>
      <c r="T197" s="467">
        <f t="shared" si="173"/>
        <v>0</v>
      </c>
      <c r="V197" s="467">
        <f t="shared" si="174"/>
        <v>-7151.648</v>
      </c>
      <c r="W197" s="474">
        <v>12</v>
      </c>
      <c r="X197" s="467">
        <f t="shared" si="175"/>
        <v>-595.970666666667</v>
      </c>
      <c r="Z197" s="467">
        <f t="shared" si="176"/>
        <v>-595.970666666667</v>
      </c>
      <c r="AA197" s="479">
        <v>3511.79662266667</v>
      </c>
      <c r="AB197" s="479">
        <f t="shared" si="148"/>
        <v>-4107.76728933334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27" workbookViewId="0">
      <selection activeCell="X40" sqref="X40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63" t="s">
        <v>616</v>
      </c>
      <c r="AA4" s="477"/>
      <c r="AB4" s="477" t="s">
        <v>808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833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64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67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70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72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485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78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83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86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89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91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95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103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121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122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127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129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137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837</v>
      </c>
      <c r="C40" s="465">
        <v>929949.42</v>
      </c>
      <c r="D40" s="466">
        <v>12</v>
      </c>
      <c r="E40" s="467">
        <f t="shared" ref="E40:E50" si="31">C40*D40</f>
        <v>11159393.04</v>
      </c>
      <c r="F40" s="467"/>
      <c r="G40" s="468">
        <v>1378291.2</v>
      </c>
      <c r="H40" s="467"/>
      <c r="I40" s="467">
        <f t="shared" ref="I40:I50" si="32">E40-F40-G40-H40</f>
        <v>9781101.84</v>
      </c>
      <c r="J40" s="467">
        <v>200000</v>
      </c>
      <c r="K40" s="467">
        <v>0.2</v>
      </c>
      <c r="L40" s="467">
        <f t="shared" ref="L40:L50" si="33">I40*K40</f>
        <v>1956220.368</v>
      </c>
      <c r="M40" s="467">
        <f t="shared" ref="M40:M50" si="34">J40+L40</f>
        <v>2156220.368</v>
      </c>
      <c r="N40" s="467">
        <f t="shared" ref="N40:N50" si="35">F40+G40+H40+M40</f>
        <v>3534511.568</v>
      </c>
      <c r="O40" s="467">
        <f t="shared" ref="O40:O50" si="36">E40-N40</f>
        <v>7624881.472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1061971.55328</v>
      </c>
      <c r="V40" s="467">
        <f t="shared" ref="V40:V50" si="42">P40+Q40+R40+S40+T40+U40</f>
        <v>1621971.55328</v>
      </c>
      <c r="W40" s="474">
        <v>12</v>
      </c>
      <c r="X40" s="467">
        <f t="shared" ref="X40:X50" si="43">V40/W40</f>
        <v>135164.296106667</v>
      </c>
      <c r="Y40" s="467"/>
      <c r="Z40" s="467">
        <f t="shared" ref="Z40:Z50" si="44">X40</f>
        <v>135164.296106667</v>
      </c>
      <c r="AA40" s="479">
        <v>180306.806858667</v>
      </c>
      <c r="AB40" s="479">
        <f t="shared" ref="AB40:AB50" si="45">Z40-AA40</f>
        <v>-45142.5107520004</v>
      </c>
      <c r="AC40" s="479"/>
      <c r="AD40" s="479"/>
      <c r="AE40" s="479"/>
    </row>
    <row r="41" ht="18" spans="1:31">
      <c r="A41" s="464">
        <v>36</v>
      </c>
      <c r="B41" s="11" t="s">
        <v>839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138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2304161.51199999</v>
      </c>
      <c r="M42" s="467">
        <f t="shared" si="34"/>
        <v>2504161.51199999</v>
      </c>
      <c r="N42" s="467">
        <f t="shared" si="35"/>
        <v>3213796.95199999</v>
      </c>
      <c r="O42" s="467">
        <f t="shared" si="36"/>
        <v>9016646.04799997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1395995.05151999</v>
      </c>
      <c r="V42" s="467">
        <f t="shared" si="42"/>
        <v>1955995.05151999</v>
      </c>
      <c r="W42" s="474">
        <v>12</v>
      </c>
      <c r="X42" s="467">
        <f t="shared" si="43"/>
        <v>162999.587626666</v>
      </c>
      <c r="Y42" s="470"/>
      <c r="Z42" s="467">
        <f t="shared" si="44"/>
        <v>162999.587626666</v>
      </c>
      <c r="AA42" s="479">
        <v>97273.5138506667</v>
      </c>
      <c r="AB42" s="479">
        <f t="shared" si="45"/>
        <v>65726.0737759993</v>
      </c>
      <c r="AC42" s="479"/>
      <c r="AD42" s="479"/>
      <c r="AE42" s="479"/>
    </row>
    <row r="43" ht="18" spans="1:31">
      <c r="A43" s="464">
        <v>38</v>
      </c>
      <c r="B43" s="11" t="s">
        <v>141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143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144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145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149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153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840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154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156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157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159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162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842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844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165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846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847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169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171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172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173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177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181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848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183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187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194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198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200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120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202</v>
      </c>
      <c r="C79" s="467"/>
      <c r="AB79" s="296" t="s">
        <v>937</v>
      </c>
      <c r="AC79" s="479"/>
      <c r="AD79" s="479"/>
      <c r="AE79" s="479"/>
    </row>
    <row r="80" ht="18" spans="1:31">
      <c r="A80" s="464">
        <v>68</v>
      </c>
      <c r="B80" s="11" t="s">
        <v>205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205</v>
      </c>
      <c r="AD80" s="479"/>
      <c r="AE80" s="479"/>
    </row>
    <row r="81" ht="18" spans="1:31">
      <c r="A81" s="464">
        <v>69</v>
      </c>
      <c r="B81" s="11" t="s">
        <v>203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3405432.22000001</v>
      </c>
      <c r="M81" s="467">
        <f t="shared" si="82"/>
        <v>3605432.22000001</v>
      </c>
      <c r="N81" s="467">
        <f t="shared" si="83"/>
        <v>5202783.12000001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2453214.93120001</v>
      </c>
      <c r="V81" s="467">
        <f t="shared" si="91"/>
        <v>3013214.93120001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152105.141120001</v>
      </c>
      <c r="AC81" s="479" t="s">
        <v>203</v>
      </c>
      <c r="AD81" s="479"/>
      <c r="AE81" s="479"/>
    </row>
    <row r="82" ht="36" spans="1:31">
      <c r="A82" s="464">
        <v>70</v>
      </c>
      <c r="B82" s="11" t="s">
        <v>208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208</v>
      </c>
      <c r="AD82" s="479"/>
      <c r="AE82" s="479"/>
    </row>
    <row r="83" ht="18" spans="1:31">
      <c r="A83" s="464">
        <v>71</v>
      </c>
      <c r="B83" s="11" t="s">
        <v>209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209</v>
      </c>
      <c r="AD83" s="479"/>
      <c r="AE83" s="479"/>
    </row>
    <row r="84" ht="18" spans="1:31">
      <c r="A84" s="464">
        <v>72</v>
      </c>
      <c r="B84" s="11" t="s">
        <v>210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210</v>
      </c>
      <c r="AD84" s="479"/>
      <c r="AE84" s="479"/>
    </row>
    <row r="85" ht="36" spans="1:31">
      <c r="A85" s="464">
        <v>73</v>
      </c>
      <c r="B85" s="11" t="s">
        <v>211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211</v>
      </c>
      <c r="AD85" s="479"/>
      <c r="AE85" s="479"/>
    </row>
    <row r="86" ht="18" spans="1:31">
      <c r="A86" s="464">
        <v>74</v>
      </c>
      <c r="B86" s="11" t="s">
        <v>213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213</v>
      </c>
      <c r="AD86" s="479"/>
      <c r="AE86" s="479"/>
    </row>
    <row r="87" ht="24" customHeight="1" spans="1:31">
      <c r="A87" s="464">
        <v>75</v>
      </c>
      <c r="B87" s="11" t="s">
        <v>214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214</v>
      </c>
      <c r="AD87" s="479"/>
      <c r="AE87" s="479"/>
    </row>
    <row r="88" ht="18" spans="1:31">
      <c r="A88" s="464">
        <v>76</v>
      </c>
      <c r="B88" s="11" t="s">
        <v>217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217</v>
      </c>
      <c r="AD88" s="479"/>
      <c r="AE88" s="479"/>
    </row>
    <row r="89" ht="18" spans="1:31">
      <c r="A89" s="464"/>
      <c r="B89" s="11" t="s">
        <v>221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221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224</v>
      </c>
      <c r="C92" s="467"/>
      <c r="AC92" s="479"/>
      <c r="AD92" s="479"/>
      <c r="AE92" s="479"/>
    </row>
    <row r="93" ht="18" spans="1:31">
      <c r="A93" s="464">
        <v>79</v>
      </c>
      <c r="B93" s="14" t="s">
        <v>225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225</v>
      </c>
      <c r="AD93" s="479"/>
      <c r="AE93" s="479"/>
    </row>
    <row r="94" ht="18" spans="1:31">
      <c r="A94" s="464">
        <v>80</v>
      </c>
      <c r="B94" s="11" t="s">
        <v>227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227</v>
      </c>
      <c r="AD94" s="479"/>
      <c r="AE94" s="479"/>
    </row>
    <row r="95" ht="18" spans="1:31">
      <c r="A95" s="464">
        <v>81</v>
      </c>
      <c r="B95" s="11" t="s">
        <v>233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233</v>
      </c>
      <c r="AD95" s="479"/>
      <c r="AE95" s="479"/>
    </row>
    <row r="96" ht="18" spans="1:31">
      <c r="A96" s="464"/>
      <c r="B96" s="11" t="s">
        <v>234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234</v>
      </c>
      <c r="AD96" s="479"/>
      <c r="AE96" s="479"/>
    </row>
    <row r="97" ht="17.5" spans="1:31">
      <c r="A97" s="464"/>
      <c r="B97" s="20" t="s">
        <v>120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237</v>
      </c>
      <c r="C99" s="467"/>
      <c r="G99" s="296">
        <v>0</v>
      </c>
      <c r="AB99" s="296" t="s">
        <v>808</v>
      </c>
      <c r="AC99" s="479"/>
      <c r="AD99" s="479"/>
      <c r="AE99" s="479"/>
    </row>
    <row r="100" ht="18" spans="1:31">
      <c r="A100" s="464">
        <v>85</v>
      </c>
      <c r="B100" s="11" t="s">
        <v>556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556</v>
      </c>
      <c r="AD100" s="479"/>
      <c r="AE100" s="479"/>
    </row>
    <row r="101" ht="18" spans="1:31">
      <c r="A101" s="464">
        <v>86</v>
      </c>
      <c r="B101" s="11" t="s">
        <v>240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240</v>
      </c>
      <c r="AD101" s="479"/>
      <c r="AE101" s="479"/>
    </row>
    <row r="102" ht="18" spans="1:31">
      <c r="A102" s="464">
        <v>87</v>
      </c>
      <c r="B102" s="11" t="s">
        <v>242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242</v>
      </c>
      <c r="AD102" s="479"/>
      <c r="AE102" s="479"/>
    </row>
    <row r="103" ht="18" spans="1:31">
      <c r="A103" s="464">
        <v>88</v>
      </c>
      <c r="B103" s="11" t="s">
        <v>244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 t="shared" ref="U103:U105" si="127"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244</v>
      </c>
      <c r="AD103" s="479"/>
      <c r="AE103" s="479"/>
    </row>
    <row r="104" ht="18" spans="1:31">
      <c r="A104" s="464">
        <v>89</v>
      </c>
      <c r="B104" s="11" t="s">
        <v>247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 t="shared" si="127"/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247</v>
      </c>
      <c r="AD104" s="479"/>
      <c r="AE104" s="479"/>
    </row>
    <row r="105" ht="36" spans="1:31">
      <c r="A105" s="464"/>
      <c r="B105" s="18" t="s">
        <v>250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 t="shared" si="127"/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87883.3843409067</v>
      </c>
      <c r="Y105" s="470"/>
      <c r="Z105" s="467">
        <f t="shared" si="125"/>
        <v>87883.3843409067</v>
      </c>
      <c r="AA105" s="479">
        <v>58631.4399444267</v>
      </c>
      <c r="AB105" s="479">
        <f t="shared" si="126"/>
        <v>29251.94439648</v>
      </c>
      <c r="AC105" s="479" t="s">
        <v>250</v>
      </c>
      <c r="AD105" s="479"/>
      <c r="AE105" s="479"/>
    </row>
    <row r="106" ht="18" spans="1:31">
      <c r="A106" s="464"/>
      <c r="B106" s="18" t="s">
        <v>251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251</v>
      </c>
      <c r="AD106" s="479"/>
      <c r="AE106" s="479"/>
    </row>
    <row r="107" ht="17.5" spans="1:31">
      <c r="A107" s="464"/>
      <c r="B107" s="20" t="s">
        <v>120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255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163</v>
      </c>
      <c r="C110" s="467">
        <v>888080.266666667</v>
      </c>
      <c r="D110" s="466">
        <v>12</v>
      </c>
      <c r="E110" s="467">
        <f t="shared" ref="E110:E112" si="128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9">E110-F110-G110-H110</f>
        <v>10069943.28</v>
      </c>
      <c r="J110" s="467">
        <v>200000</v>
      </c>
      <c r="K110" s="467">
        <v>0.2</v>
      </c>
      <c r="L110" s="467">
        <f t="shared" ref="L110:L112" si="130">I110*K110</f>
        <v>2013988.656</v>
      </c>
      <c r="M110" s="467">
        <f t="shared" ref="M110:M112" si="131">J110+L110</f>
        <v>2213988.656</v>
      </c>
      <c r="N110" s="467">
        <f t="shared" ref="N110:N112" si="132">F110+G110+H110+M110</f>
        <v>2801008.576</v>
      </c>
      <c r="O110" s="467">
        <f t="shared" ref="O110:O112" si="133">E110-N110</f>
        <v>7855954.624</v>
      </c>
      <c r="P110" s="467">
        <f t="shared" ref="P110:P112" si="134">IF(O110&lt;300000,0.07*O110,21000)</f>
        <v>21000</v>
      </c>
      <c r="Q110" s="467">
        <f t="shared" ref="Q110:Q112" si="135">IF((O110-300000)&lt;0,0,IF((O110-300000)&lt;300000,0.11*(O110-300000),33000))</f>
        <v>33000</v>
      </c>
      <c r="R110" s="467">
        <f t="shared" ref="R110:R112" si="136">IF((O110-600000)&lt;0,0,IF((O110-600000)&lt;500000,0.15*(O110-600000),75000))</f>
        <v>75000</v>
      </c>
      <c r="S110" s="467">
        <f t="shared" ref="S110:S112" si="137">IF((O110-1100000)&lt;0,0,IF((O110-1100000)&lt;500000,0.19*(O110-1100000),95000))</f>
        <v>95000</v>
      </c>
      <c r="T110" s="467">
        <f t="shared" ref="T110:T112" si="138">IF((O110-1600000)&lt;0,0,IF((O110-1600000)&lt;1600000,0.21*(O110-1600000),336000))</f>
        <v>336000</v>
      </c>
      <c r="U110" s="467">
        <f t="shared" ref="U110:U112" si="139">0.24*(O110-3200000)</f>
        <v>1117429.10976</v>
      </c>
      <c r="V110" s="467">
        <f t="shared" ref="V110:V112" si="140">P110+Q110+R110+S110+T110+U110</f>
        <v>1677429.10976</v>
      </c>
      <c r="W110" s="474">
        <v>12</v>
      </c>
      <c r="X110" s="467">
        <f t="shared" ref="X110:X112" si="141">V110/W110</f>
        <v>139785.759146667</v>
      </c>
      <c r="Y110" s="470"/>
      <c r="Z110" s="467">
        <f t="shared" ref="Z110:Z112" si="142">X110</f>
        <v>139785.759146667</v>
      </c>
      <c r="AA110" s="479">
        <v>77610.1169066667</v>
      </c>
      <c r="AB110" s="479">
        <f t="shared" ref="AB110:AB112" si="143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257</v>
      </c>
      <c r="C111" s="467">
        <v>487895.166666667</v>
      </c>
      <c r="D111" s="466">
        <v>12</v>
      </c>
      <c r="E111" s="467">
        <f t="shared" si="128"/>
        <v>5854742</v>
      </c>
      <c r="F111" s="467"/>
      <c r="G111" s="468">
        <v>362779.36</v>
      </c>
      <c r="H111" s="470"/>
      <c r="I111" s="467">
        <f t="shared" si="129"/>
        <v>5491962.64</v>
      </c>
      <c r="J111" s="467">
        <v>200000</v>
      </c>
      <c r="K111" s="467">
        <v>0.2</v>
      </c>
      <c r="L111" s="467">
        <f t="shared" si="130"/>
        <v>1098392.528</v>
      </c>
      <c r="M111" s="467">
        <f t="shared" si="131"/>
        <v>1298392.528</v>
      </c>
      <c r="N111" s="467">
        <f t="shared" si="132"/>
        <v>1661171.888</v>
      </c>
      <c r="O111" s="467">
        <f t="shared" si="133"/>
        <v>4193570.112</v>
      </c>
      <c r="P111" s="467">
        <f t="shared" si="134"/>
        <v>21000</v>
      </c>
      <c r="Q111" s="467">
        <f t="shared" si="135"/>
        <v>33000</v>
      </c>
      <c r="R111" s="467">
        <f t="shared" si="136"/>
        <v>75000</v>
      </c>
      <c r="S111" s="467">
        <f t="shared" si="137"/>
        <v>95000</v>
      </c>
      <c r="T111" s="467">
        <f t="shared" si="138"/>
        <v>336000</v>
      </c>
      <c r="U111" s="467">
        <f t="shared" si="139"/>
        <v>238456.826880001</v>
      </c>
      <c r="V111" s="467">
        <f t="shared" si="140"/>
        <v>798456.826880001</v>
      </c>
      <c r="W111" s="474">
        <v>12</v>
      </c>
      <c r="X111" s="467">
        <f t="shared" si="141"/>
        <v>66538.0689066667</v>
      </c>
      <c r="Y111" s="470"/>
      <c r="Z111" s="467">
        <f t="shared" si="142"/>
        <v>66538.0689066667</v>
      </c>
      <c r="AA111" s="479">
        <v>43368.8824146667</v>
      </c>
      <c r="AB111" s="479">
        <f t="shared" si="143"/>
        <v>23169.186492</v>
      </c>
      <c r="AC111" s="479"/>
      <c r="AD111" s="479"/>
      <c r="AE111" s="479"/>
    </row>
    <row r="112" ht="18" spans="1:31">
      <c r="A112" s="464">
        <v>94</v>
      </c>
      <c r="B112" s="11" t="s">
        <v>190</v>
      </c>
      <c r="C112" s="473">
        <v>450086.5</v>
      </c>
      <c r="D112" s="466">
        <v>12</v>
      </c>
      <c r="E112" s="467">
        <f t="shared" si="128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9"/>
        <v>5019635.505</v>
      </c>
      <c r="J112" s="467">
        <v>200000</v>
      </c>
      <c r="K112" s="467">
        <v>0.2</v>
      </c>
      <c r="L112" s="467">
        <f t="shared" si="130"/>
        <v>1003927.101</v>
      </c>
      <c r="M112" s="467">
        <f t="shared" si="131"/>
        <v>1203927.101</v>
      </c>
      <c r="N112" s="467">
        <f t="shared" si="132"/>
        <v>1585329.596</v>
      </c>
      <c r="O112" s="467">
        <f t="shared" si="133"/>
        <v>3815708.404</v>
      </c>
      <c r="P112" s="467">
        <f t="shared" si="134"/>
        <v>21000</v>
      </c>
      <c r="Q112" s="467">
        <f t="shared" si="135"/>
        <v>33000</v>
      </c>
      <c r="R112" s="467">
        <f t="shared" si="136"/>
        <v>75000</v>
      </c>
      <c r="S112" s="467">
        <f t="shared" si="137"/>
        <v>95000</v>
      </c>
      <c r="T112" s="467">
        <f t="shared" si="138"/>
        <v>336000</v>
      </c>
      <c r="U112" s="467">
        <f t="shared" si="139"/>
        <v>147770.01696</v>
      </c>
      <c r="V112" s="467">
        <f t="shared" si="140"/>
        <v>707770.01696</v>
      </c>
      <c r="W112" s="474">
        <v>12</v>
      </c>
      <c r="X112" s="467">
        <f t="shared" si="141"/>
        <v>58980.8347466667</v>
      </c>
      <c r="Y112" s="470"/>
      <c r="Z112" s="467">
        <f t="shared" si="142"/>
        <v>58980.8347466667</v>
      </c>
      <c r="AA112" s="479">
        <v>35221.9540866667</v>
      </c>
      <c r="AB112" s="479">
        <f t="shared" si="143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279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280</v>
      </c>
      <c r="C116" s="467">
        <v>1635720</v>
      </c>
      <c r="D116" s="466">
        <v>12</v>
      </c>
      <c r="E116" s="467">
        <f t="shared" ref="E116:E125" si="144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5">E116-F116-G116-H116</f>
        <v>18225826.794</v>
      </c>
      <c r="J116" s="467">
        <v>200000</v>
      </c>
      <c r="K116" s="467">
        <v>0.2</v>
      </c>
      <c r="L116" s="467">
        <f t="shared" ref="L116:L125" si="146">I116*K116</f>
        <v>3645165.3588</v>
      </c>
      <c r="M116" s="467">
        <f t="shared" ref="M116:M125" si="147">J116+L116</f>
        <v>3845165.3588</v>
      </c>
      <c r="N116" s="467">
        <f t="shared" ref="N116:N125" si="148">F116+G116+H116+M116</f>
        <v>5247978.5648</v>
      </c>
      <c r="O116" s="467">
        <f t="shared" ref="O116:O125" si="149">E116-N116</f>
        <v>14380661.4352</v>
      </c>
      <c r="P116" s="467">
        <f t="shared" ref="P116:P125" si="150">IF(O116&lt;300000,0.07*O116,21000)</f>
        <v>21000</v>
      </c>
      <c r="Q116" s="467">
        <f t="shared" ref="Q116:Q125" si="151">IF((O116-300000)&lt;0,0,IF((O116-300000)&lt;300000,0.11*(O116-300000),33000))</f>
        <v>33000</v>
      </c>
      <c r="R116" s="467">
        <f t="shared" ref="R116:R125" si="152">IF((O116-600000)&lt;0,0,IF((O116-600000)&lt;500000,0.15*(O116-600000),75000))</f>
        <v>75000</v>
      </c>
      <c r="S116" s="467">
        <f t="shared" ref="S116:S125" si="153">IF((O116-1100000)&lt;0,0,IF((O116-1100000)&lt;500000,0.19*(O116-1100000),95000))</f>
        <v>95000</v>
      </c>
      <c r="T116" s="467">
        <f t="shared" ref="T116:T125" si="154">IF((O116-1600000)&lt;0,0,IF((O116-1600000)&lt;1600000,0.21*(O116-1600000),336000))</f>
        <v>336000</v>
      </c>
      <c r="U116" s="467">
        <f t="shared" ref="U116:U122" si="155">0.24*(O116-3200000)</f>
        <v>2683358.744448</v>
      </c>
      <c r="V116" s="467">
        <f t="shared" ref="V116:V125" si="156">P116+Q116+R116+S116+T116+U116</f>
        <v>3243358.744448</v>
      </c>
      <c r="W116" s="474">
        <v>12</v>
      </c>
      <c r="X116" s="467">
        <f t="shared" ref="X116:X125" si="157">V116/W116</f>
        <v>270279.895370667</v>
      </c>
      <c r="Y116" s="470"/>
      <c r="Z116" s="467">
        <f t="shared" ref="Z116:Z125" si="158">X116</f>
        <v>270279.895370667</v>
      </c>
      <c r="AA116" s="479">
        <v>179914.454762667</v>
      </c>
      <c r="AB116" s="479">
        <f t="shared" ref="AB116:AB125" si="159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282</v>
      </c>
      <c r="C117" s="467">
        <v>929203.583333333</v>
      </c>
      <c r="D117" s="466">
        <v>12</v>
      </c>
      <c r="E117" s="467">
        <f t="shared" si="144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5"/>
        <v>10321040.76</v>
      </c>
      <c r="J117" s="467">
        <v>200000</v>
      </c>
      <c r="K117" s="467">
        <v>0.2</v>
      </c>
      <c r="L117" s="467">
        <f t="shared" si="146"/>
        <v>2064208.152</v>
      </c>
      <c r="M117" s="467">
        <f t="shared" si="147"/>
        <v>2264208.152</v>
      </c>
      <c r="N117" s="467">
        <f t="shared" si="148"/>
        <v>3093610.392</v>
      </c>
      <c r="O117" s="467">
        <f t="shared" si="149"/>
        <v>8056832.608</v>
      </c>
      <c r="P117" s="467">
        <f t="shared" si="150"/>
        <v>21000</v>
      </c>
      <c r="Q117" s="467">
        <f t="shared" si="151"/>
        <v>33000</v>
      </c>
      <c r="R117" s="467">
        <f t="shared" si="152"/>
        <v>75000</v>
      </c>
      <c r="S117" s="467">
        <f t="shared" si="153"/>
        <v>95000</v>
      </c>
      <c r="T117" s="467">
        <f t="shared" si="154"/>
        <v>336000</v>
      </c>
      <c r="U117" s="467">
        <f t="shared" si="155"/>
        <v>1165639.82592</v>
      </c>
      <c r="V117" s="467">
        <f t="shared" si="156"/>
        <v>1725639.82592</v>
      </c>
      <c r="W117" s="474">
        <v>12</v>
      </c>
      <c r="X117" s="467">
        <f t="shared" si="157"/>
        <v>143803.318826667</v>
      </c>
      <c r="Y117" s="470"/>
      <c r="Z117" s="467">
        <f t="shared" si="158"/>
        <v>143803.318826667</v>
      </c>
      <c r="AA117" s="479">
        <v>98995.9569386667</v>
      </c>
      <c r="AB117" s="479">
        <f t="shared" si="159"/>
        <v>44807.3618879999</v>
      </c>
      <c r="AC117" s="479"/>
      <c r="AD117" s="479"/>
      <c r="AE117" s="479"/>
    </row>
    <row r="118" ht="18" spans="1:31">
      <c r="A118" s="464"/>
      <c r="B118" s="14" t="s">
        <v>284</v>
      </c>
      <c r="C118" s="467">
        <v>936034</v>
      </c>
      <c r="D118" s="466">
        <v>12</v>
      </c>
      <c r="E118" s="467">
        <f t="shared" si="144"/>
        <v>11232408</v>
      </c>
      <c r="F118" s="467">
        <f>9678.96*12</f>
        <v>116147.52</v>
      </c>
      <c r="G118" s="468">
        <v>709636.44</v>
      </c>
      <c r="H118" s="470"/>
      <c r="I118" s="467">
        <f t="shared" si="145"/>
        <v>10406624.04</v>
      </c>
      <c r="J118" s="467">
        <v>200000</v>
      </c>
      <c r="K118" s="467">
        <v>0.2</v>
      </c>
      <c r="L118" s="467">
        <f t="shared" si="146"/>
        <v>2081324.808</v>
      </c>
      <c r="M118" s="467">
        <f t="shared" si="147"/>
        <v>2281324.808</v>
      </c>
      <c r="N118" s="467">
        <f t="shared" si="148"/>
        <v>3107108.768</v>
      </c>
      <c r="O118" s="467">
        <f t="shared" si="149"/>
        <v>8125299.232</v>
      </c>
      <c r="P118" s="467">
        <f t="shared" si="150"/>
        <v>21000</v>
      </c>
      <c r="Q118" s="467">
        <f t="shared" si="151"/>
        <v>33000</v>
      </c>
      <c r="R118" s="467">
        <f t="shared" si="152"/>
        <v>75000</v>
      </c>
      <c r="S118" s="467">
        <f t="shared" si="153"/>
        <v>95000</v>
      </c>
      <c r="T118" s="467">
        <f t="shared" si="154"/>
        <v>336000</v>
      </c>
      <c r="U118" s="467">
        <f t="shared" si="155"/>
        <v>1182071.81568</v>
      </c>
      <c r="V118" s="467">
        <f t="shared" si="156"/>
        <v>1742071.81568</v>
      </c>
      <c r="W118" s="474">
        <v>12</v>
      </c>
      <c r="X118" s="467">
        <f t="shared" si="157"/>
        <v>145172.651306667</v>
      </c>
      <c r="Y118" s="470"/>
      <c r="Z118" s="467">
        <f t="shared" si="158"/>
        <v>145172.651306667</v>
      </c>
      <c r="AA118" s="479">
        <v>89396.1031466666</v>
      </c>
      <c r="AB118" s="479">
        <f t="shared" si="159"/>
        <v>55776.5481600001</v>
      </c>
      <c r="AC118" s="479"/>
      <c r="AD118" s="479"/>
      <c r="AE118" s="479"/>
    </row>
    <row r="119" ht="18" spans="1:31">
      <c r="A119" s="464"/>
      <c r="B119" s="14" t="s">
        <v>855</v>
      </c>
      <c r="C119" s="467">
        <v>662118.083333333</v>
      </c>
      <c r="D119" s="466">
        <v>12</v>
      </c>
      <c r="E119" s="467">
        <f t="shared" si="144"/>
        <v>7945417</v>
      </c>
      <c r="F119" s="467"/>
      <c r="G119" s="468">
        <v>0</v>
      </c>
      <c r="H119" s="470"/>
      <c r="I119" s="467">
        <f t="shared" si="145"/>
        <v>7945417</v>
      </c>
      <c r="J119" s="467">
        <v>200000</v>
      </c>
      <c r="K119" s="467">
        <v>0.2</v>
      </c>
      <c r="L119" s="467">
        <f t="shared" si="146"/>
        <v>1589083.4</v>
      </c>
      <c r="M119" s="467">
        <f t="shared" si="147"/>
        <v>1789083.4</v>
      </c>
      <c r="N119" s="467">
        <f t="shared" si="148"/>
        <v>1789083.4</v>
      </c>
      <c r="O119" s="467">
        <f t="shared" si="149"/>
        <v>6156333.6</v>
      </c>
      <c r="P119" s="467">
        <f t="shared" si="150"/>
        <v>21000</v>
      </c>
      <c r="Q119" s="467">
        <f t="shared" si="151"/>
        <v>33000</v>
      </c>
      <c r="R119" s="467">
        <f t="shared" si="152"/>
        <v>75000</v>
      </c>
      <c r="S119" s="467">
        <f t="shared" si="153"/>
        <v>95000</v>
      </c>
      <c r="T119" s="467">
        <f t="shared" si="154"/>
        <v>336000</v>
      </c>
      <c r="U119" s="467">
        <f t="shared" si="155"/>
        <v>709520.063999999</v>
      </c>
      <c r="V119" s="467">
        <f t="shared" si="156"/>
        <v>1269520.064</v>
      </c>
      <c r="W119" s="474">
        <v>12</v>
      </c>
      <c r="X119" s="467">
        <f t="shared" si="157"/>
        <v>105793.338666667</v>
      </c>
      <c r="Y119" s="470"/>
      <c r="Z119" s="467">
        <f t="shared" si="158"/>
        <v>105793.338666667</v>
      </c>
      <c r="AA119" s="479">
        <v>60214.6772906667</v>
      </c>
      <c r="AB119" s="479">
        <f t="shared" si="159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287</v>
      </c>
      <c r="C120" s="467">
        <v>540498</v>
      </c>
      <c r="D120" s="466">
        <v>12</v>
      </c>
      <c r="E120" s="467">
        <f t="shared" si="144"/>
        <v>6485976</v>
      </c>
      <c r="F120" s="467"/>
      <c r="G120" s="468">
        <v>451678.08</v>
      </c>
      <c r="H120" s="470"/>
      <c r="I120" s="467">
        <f t="shared" si="145"/>
        <v>6034297.92</v>
      </c>
      <c r="J120" s="467">
        <v>200000</v>
      </c>
      <c r="K120" s="467">
        <v>0.2</v>
      </c>
      <c r="L120" s="467">
        <f t="shared" si="146"/>
        <v>1206859.584</v>
      </c>
      <c r="M120" s="467">
        <f t="shared" si="147"/>
        <v>1406859.584</v>
      </c>
      <c r="N120" s="467">
        <f t="shared" si="148"/>
        <v>1858537.664</v>
      </c>
      <c r="O120" s="467">
        <f t="shared" si="149"/>
        <v>4627438.336</v>
      </c>
      <c r="P120" s="467">
        <f t="shared" si="150"/>
        <v>21000</v>
      </c>
      <c r="Q120" s="467">
        <f t="shared" si="151"/>
        <v>33000</v>
      </c>
      <c r="R120" s="467">
        <f t="shared" si="152"/>
        <v>75000</v>
      </c>
      <c r="S120" s="467">
        <f t="shared" si="153"/>
        <v>95000</v>
      </c>
      <c r="T120" s="467">
        <f t="shared" si="154"/>
        <v>336000</v>
      </c>
      <c r="U120" s="467">
        <f t="shared" si="155"/>
        <v>342585.20064</v>
      </c>
      <c r="V120" s="467">
        <f t="shared" si="156"/>
        <v>902585.20064</v>
      </c>
      <c r="W120" s="474">
        <v>12</v>
      </c>
      <c r="X120" s="467">
        <f t="shared" si="157"/>
        <v>75215.4333866667</v>
      </c>
      <c r="Y120" s="470"/>
      <c r="Z120" s="467">
        <f t="shared" si="158"/>
        <v>75215.4333866667</v>
      </c>
      <c r="AA120" s="479">
        <v>44846.6165886667</v>
      </c>
      <c r="AB120" s="479">
        <f t="shared" si="159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288</v>
      </c>
      <c r="C121" s="467">
        <v>512746.5</v>
      </c>
      <c r="D121" s="466">
        <v>12</v>
      </c>
      <c r="E121" s="467">
        <f t="shared" si="144"/>
        <v>6152958</v>
      </c>
      <c r="F121" s="473">
        <f>646.3525*12</f>
        <v>7756.23</v>
      </c>
      <c r="G121" s="468">
        <v>425036.64</v>
      </c>
      <c r="H121" s="470"/>
      <c r="I121" s="467">
        <f t="shared" si="145"/>
        <v>5720165.13</v>
      </c>
      <c r="J121" s="467">
        <v>200000</v>
      </c>
      <c r="K121" s="467">
        <v>0.2</v>
      </c>
      <c r="L121" s="467">
        <f t="shared" si="146"/>
        <v>1144033.026</v>
      </c>
      <c r="M121" s="467">
        <f t="shared" si="147"/>
        <v>1344033.026</v>
      </c>
      <c r="N121" s="467">
        <f t="shared" si="148"/>
        <v>1776825.896</v>
      </c>
      <c r="O121" s="467">
        <f t="shared" si="149"/>
        <v>4376132.104</v>
      </c>
      <c r="P121" s="467">
        <f t="shared" si="150"/>
        <v>21000</v>
      </c>
      <c r="Q121" s="467">
        <f t="shared" si="151"/>
        <v>33000</v>
      </c>
      <c r="R121" s="467">
        <f t="shared" si="152"/>
        <v>75000</v>
      </c>
      <c r="S121" s="467">
        <f t="shared" si="153"/>
        <v>95000</v>
      </c>
      <c r="T121" s="467">
        <f t="shared" si="154"/>
        <v>336000</v>
      </c>
      <c r="U121" s="467">
        <f t="shared" si="155"/>
        <v>282271.70496</v>
      </c>
      <c r="V121" s="467">
        <f t="shared" si="156"/>
        <v>842271.70496</v>
      </c>
      <c r="W121" s="474">
        <v>12</v>
      </c>
      <c r="X121" s="467">
        <f t="shared" si="157"/>
        <v>70189.3087466667</v>
      </c>
      <c r="Y121" s="470"/>
      <c r="Z121" s="467">
        <f t="shared" si="158"/>
        <v>70189.3087466667</v>
      </c>
      <c r="AA121" s="479">
        <v>42029.5891866667</v>
      </c>
      <c r="AB121" s="479">
        <f t="shared" si="159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290</v>
      </c>
      <c r="C122" s="467">
        <v>526622.25</v>
      </c>
      <c r="D122" s="466">
        <v>12</v>
      </c>
      <c r="E122" s="467">
        <f t="shared" si="144"/>
        <v>6319467</v>
      </c>
      <c r="F122" s="473">
        <f>668.31625*12</f>
        <v>8019.795</v>
      </c>
      <c r="G122" s="468">
        <v>438357.36</v>
      </c>
      <c r="H122" s="470"/>
      <c r="I122" s="467">
        <f t="shared" si="145"/>
        <v>5873089.845</v>
      </c>
      <c r="J122" s="467">
        <v>200000</v>
      </c>
      <c r="K122" s="467">
        <v>0.2</v>
      </c>
      <c r="L122" s="467">
        <f t="shared" si="146"/>
        <v>1174617.969</v>
      </c>
      <c r="M122" s="467">
        <f t="shared" si="147"/>
        <v>1374617.969</v>
      </c>
      <c r="N122" s="467">
        <f t="shared" si="148"/>
        <v>1820995.124</v>
      </c>
      <c r="O122" s="467">
        <f t="shared" si="149"/>
        <v>4498471.876</v>
      </c>
      <c r="P122" s="467">
        <f t="shared" si="150"/>
        <v>21000</v>
      </c>
      <c r="Q122" s="467">
        <f t="shared" si="151"/>
        <v>33000</v>
      </c>
      <c r="R122" s="467">
        <f t="shared" si="152"/>
        <v>75000</v>
      </c>
      <c r="S122" s="467">
        <f t="shared" si="153"/>
        <v>95000</v>
      </c>
      <c r="T122" s="467">
        <f t="shared" si="154"/>
        <v>336000</v>
      </c>
      <c r="U122" s="467">
        <f t="shared" si="155"/>
        <v>311633.25024</v>
      </c>
      <c r="V122" s="467">
        <f t="shared" si="156"/>
        <v>871633.25024</v>
      </c>
      <c r="W122" s="474">
        <v>12</v>
      </c>
      <c r="X122" s="467">
        <f t="shared" si="157"/>
        <v>72636.1041866667</v>
      </c>
      <c r="Y122" s="470"/>
      <c r="Z122" s="467">
        <f t="shared" si="158"/>
        <v>72636.1041866667</v>
      </c>
      <c r="AA122" s="479">
        <v>43380.0962466667</v>
      </c>
      <c r="AB122" s="479">
        <f t="shared" si="159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293</v>
      </c>
      <c r="C123" s="467">
        <v>330481.666666667</v>
      </c>
      <c r="D123" s="466">
        <v>12</v>
      </c>
      <c r="E123" s="467">
        <f t="shared" si="144"/>
        <v>3965780</v>
      </c>
      <c r="F123" s="467"/>
      <c r="G123" s="468">
        <v>259662.4</v>
      </c>
      <c r="H123" s="470"/>
      <c r="I123" s="467">
        <f t="shared" si="145"/>
        <v>3706117.6</v>
      </c>
      <c r="J123" s="467">
        <v>200000</v>
      </c>
      <c r="K123" s="467">
        <v>0.2</v>
      </c>
      <c r="L123" s="467">
        <f t="shared" si="146"/>
        <v>741223.520000001</v>
      </c>
      <c r="M123" s="467">
        <f t="shared" si="147"/>
        <v>941223.520000001</v>
      </c>
      <c r="N123" s="467">
        <f t="shared" si="148"/>
        <v>1200885.92</v>
      </c>
      <c r="O123" s="467">
        <f t="shared" si="149"/>
        <v>2764894.08</v>
      </c>
      <c r="P123" s="467">
        <f t="shared" si="150"/>
        <v>21000</v>
      </c>
      <c r="Q123" s="467">
        <f t="shared" si="151"/>
        <v>33000</v>
      </c>
      <c r="R123" s="467">
        <f t="shared" si="152"/>
        <v>75000</v>
      </c>
      <c r="S123" s="467">
        <f t="shared" si="153"/>
        <v>95000</v>
      </c>
      <c r="T123" s="467">
        <f t="shared" si="154"/>
        <v>244627.756800001</v>
      </c>
      <c r="U123" s="467"/>
      <c r="V123" s="467">
        <f t="shared" si="156"/>
        <v>468627.756800001</v>
      </c>
      <c r="W123" s="474">
        <v>12</v>
      </c>
      <c r="X123" s="467">
        <f t="shared" si="157"/>
        <v>39052.3130666667</v>
      </c>
      <c r="Y123" s="470"/>
      <c r="Z123" s="467">
        <f t="shared" si="158"/>
        <v>39052.3130666667</v>
      </c>
      <c r="AA123" s="479">
        <v>23036.0123466667</v>
      </c>
      <c r="AB123" s="479">
        <f t="shared" si="159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295</v>
      </c>
      <c r="C124" s="467">
        <v>274459.75</v>
      </c>
      <c r="D124" s="466">
        <v>12</v>
      </c>
      <c r="E124" s="467">
        <f t="shared" si="144"/>
        <v>3293517</v>
      </c>
      <c r="F124" s="467"/>
      <c r="G124" s="468">
        <v>215481.36</v>
      </c>
      <c r="H124" s="470"/>
      <c r="I124" s="467">
        <f t="shared" si="145"/>
        <v>3078035.64</v>
      </c>
      <c r="J124" s="467">
        <v>200000</v>
      </c>
      <c r="K124" s="467">
        <v>0.2</v>
      </c>
      <c r="L124" s="467">
        <f t="shared" si="146"/>
        <v>615607.128</v>
      </c>
      <c r="M124" s="467">
        <f t="shared" si="147"/>
        <v>815607.128</v>
      </c>
      <c r="N124" s="467">
        <f t="shared" si="148"/>
        <v>1031088.488</v>
      </c>
      <c r="O124" s="467">
        <f t="shared" si="149"/>
        <v>2262428.512</v>
      </c>
      <c r="P124" s="467">
        <f t="shared" si="150"/>
        <v>21000</v>
      </c>
      <c r="Q124" s="467">
        <f t="shared" si="151"/>
        <v>33000</v>
      </c>
      <c r="R124" s="467">
        <f t="shared" si="152"/>
        <v>75000</v>
      </c>
      <c r="S124" s="467">
        <f t="shared" si="153"/>
        <v>95000</v>
      </c>
      <c r="T124" s="467">
        <f t="shared" si="154"/>
        <v>139109.98752</v>
      </c>
      <c r="U124" s="467"/>
      <c r="V124" s="467">
        <f t="shared" si="156"/>
        <v>363109.98752</v>
      </c>
      <c r="W124" s="474">
        <v>12</v>
      </c>
      <c r="X124" s="467">
        <f t="shared" si="157"/>
        <v>30259.1656266667</v>
      </c>
      <c r="Y124" s="470"/>
      <c r="Z124" s="467">
        <f t="shared" si="158"/>
        <v>30259.1656266667</v>
      </c>
      <c r="AA124" s="479">
        <v>17042.7138666667</v>
      </c>
      <c r="AB124" s="479">
        <f t="shared" si="159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297</v>
      </c>
      <c r="C125" s="467">
        <v>274459.75</v>
      </c>
      <c r="D125" s="466">
        <v>12</v>
      </c>
      <c r="E125" s="467">
        <f t="shared" si="144"/>
        <v>3293517</v>
      </c>
      <c r="F125" s="467"/>
      <c r="G125" s="468">
        <v>215481.36</v>
      </c>
      <c r="H125" s="470"/>
      <c r="I125" s="467">
        <f t="shared" si="145"/>
        <v>3078035.64</v>
      </c>
      <c r="J125" s="467">
        <v>200000</v>
      </c>
      <c r="K125" s="467">
        <v>0.2</v>
      </c>
      <c r="L125" s="467">
        <f t="shared" si="146"/>
        <v>615607.128</v>
      </c>
      <c r="M125" s="467">
        <f t="shared" si="147"/>
        <v>815607.128</v>
      </c>
      <c r="N125" s="467">
        <f t="shared" si="148"/>
        <v>1031088.488</v>
      </c>
      <c r="O125" s="467">
        <f t="shared" si="149"/>
        <v>2262428.512</v>
      </c>
      <c r="P125" s="467">
        <f t="shared" si="150"/>
        <v>21000</v>
      </c>
      <c r="Q125" s="467">
        <f t="shared" si="151"/>
        <v>33000</v>
      </c>
      <c r="R125" s="467">
        <f t="shared" si="152"/>
        <v>75000</v>
      </c>
      <c r="S125" s="467">
        <f t="shared" si="153"/>
        <v>95000</v>
      </c>
      <c r="T125" s="467">
        <f t="shared" si="154"/>
        <v>139109.98752</v>
      </c>
      <c r="U125" s="467"/>
      <c r="V125" s="467">
        <f t="shared" si="156"/>
        <v>363109.98752</v>
      </c>
      <c r="W125" s="474">
        <v>12</v>
      </c>
      <c r="X125" s="467">
        <f t="shared" si="157"/>
        <v>30259.1656266667</v>
      </c>
      <c r="Y125" s="470"/>
      <c r="Z125" s="467">
        <f t="shared" si="158"/>
        <v>30259.1656266667</v>
      </c>
      <c r="AA125" s="479">
        <v>17042.7138666667</v>
      </c>
      <c r="AB125" s="479">
        <f t="shared" si="159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120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300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856</v>
      </c>
      <c r="C129" s="467">
        <v>1535720</v>
      </c>
      <c r="D129" s="466">
        <v>12</v>
      </c>
      <c r="E129" s="467">
        <f t="shared" ref="E129:E187" si="160">C129*D129</f>
        <v>18428640</v>
      </c>
      <c r="F129" s="467"/>
      <c r="G129" s="468">
        <v>1378291.2</v>
      </c>
      <c r="H129" s="470"/>
      <c r="I129" s="467">
        <f t="shared" ref="I129:I187" si="161">E129-F129-G129-H129</f>
        <v>17050348.8</v>
      </c>
      <c r="J129" s="467">
        <v>200000</v>
      </c>
      <c r="K129" s="467">
        <v>0.2</v>
      </c>
      <c r="L129" s="467">
        <f t="shared" ref="L129:L187" si="162">I129*K129</f>
        <v>3410069.76</v>
      </c>
      <c r="M129" s="467">
        <f t="shared" ref="M129:M187" si="163">J129+L129</f>
        <v>3610069.76</v>
      </c>
      <c r="N129" s="467">
        <f t="shared" ref="N129:N187" si="164">F129+G129+H129+M129</f>
        <v>4988360.96</v>
      </c>
      <c r="O129" s="467">
        <f t="shared" ref="O129:O187" si="165">E129-N129</f>
        <v>13440279.04</v>
      </c>
      <c r="P129" s="467">
        <f t="shared" ref="P129:P187" si="166">IF(O129&lt;300000,0.07*O129,21000)</f>
        <v>21000</v>
      </c>
      <c r="Q129" s="467">
        <f t="shared" ref="Q129:Q187" si="167">IF((O129-300000)&lt;0,0,IF((O129-300000)&lt;300000,0.11*(O129-300000),33000))</f>
        <v>33000</v>
      </c>
      <c r="R129" s="467">
        <f t="shared" ref="R129:R187" si="168">IF((O129-600000)&lt;0,0,IF((O129-600000)&lt;500000,0.15*(O129-600000),75000))</f>
        <v>75000</v>
      </c>
      <c r="S129" s="467">
        <f t="shared" ref="S129:S187" si="169">IF((O129-1100000)&lt;0,0,IF((O129-1100000)&lt;500000,0.19*(O129-1100000),95000))</f>
        <v>95000</v>
      </c>
      <c r="T129" s="467">
        <f t="shared" ref="T129:T187" si="170">IF((O129-1600000)&lt;0,0,IF((O129-1600000)&lt;1600000,0.21*(O129-1600000),336000))</f>
        <v>336000</v>
      </c>
      <c r="U129" s="467">
        <f t="shared" ref="U129:U141" si="171">0.24*(O129-3200000)</f>
        <v>2457666.9696</v>
      </c>
      <c r="V129" s="467">
        <f t="shared" ref="V129:V187" si="172">P129+Q129+R129+S129+T129+U129</f>
        <v>3017666.9696</v>
      </c>
      <c r="W129" s="474">
        <v>12</v>
      </c>
      <c r="X129" s="467">
        <f t="shared" ref="X129:X187" si="173">V129/W129</f>
        <v>251472.247466667</v>
      </c>
      <c r="Y129" s="470"/>
      <c r="Z129" s="467">
        <f t="shared" ref="Z129:Z187" si="174">X129</f>
        <v>251472.247466667</v>
      </c>
      <c r="AA129" s="479">
        <v>161106.806858667</v>
      </c>
      <c r="AB129" s="479">
        <f t="shared" ref="AB129:AB187" si="175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858</v>
      </c>
      <c r="C130" s="467">
        <v>852373.166666667</v>
      </c>
      <c r="D130" s="466">
        <v>12</v>
      </c>
      <c r="E130" s="467">
        <f t="shared" si="160"/>
        <v>10228478</v>
      </c>
      <c r="F130" s="467"/>
      <c r="G130" s="468">
        <v>0</v>
      </c>
      <c r="H130" s="470"/>
      <c r="I130" s="467">
        <f t="shared" si="161"/>
        <v>10228478</v>
      </c>
      <c r="J130" s="467">
        <v>200000</v>
      </c>
      <c r="K130" s="467">
        <v>0.2</v>
      </c>
      <c r="L130" s="467">
        <f t="shared" si="162"/>
        <v>2045695.6</v>
      </c>
      <c r="M130" s="467">
        <f t="shared" si="163"/>
        <v>2245695.6</v>
      </c>
      <c r="N130" s="467">
        <f t="shared" si="164"/>
        <v>2245695.6</v>
      </c>
      <c r="O130" s="467">
        <f t="shared" si="165"/>
        <v>7982782.4</v>
      </c>
      <c r="P130" s="467">
        <f t="shared" si="166"/>
        <v>21000</v>
      </c>
      <c r="Q130" s="467">
        <f t="shared" si="167"/>
        <v>33000</v>
      </c>
      <c r="R130" s="467">
        <f t="shared" si="168"/>
        <v>75000</v>
      </c>
      <c r="S130" s="467">
        <f t="shared" si="169"/>
        <v>95000</v>
      </c>
      <c r="T130" s="467">
        <f t="shared" si="170"/>
        <v>336000</v>
      </c>
      <c r="U130" s="467">
        <f t="shared" si="171"/>
        <v>1147867.776</v>
      </c>
      <c r="V130" s="467">
        <f t="shared" si="172"/>
        <v>1707867.776</v>
      </c>
      <c r="W130" s="474">
        <v>12</v>
      </c>
      <c r="X130" s="467">
        <f t="shared" si="173"/>
        <v>142322.314666667</v>
      </c>
      <c r="Y130" s="470"/>
      <c r="Z130" s="467">
        <f t="shared" si="174"/>
        <v>142322.314666667</v>
      </c>
      <c r="AA130" s="479">
        <v>82627.9514186667</v>
      </c>
      <c r="AB130" s="479">
        <f t="shared" si="175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304</v>
      </c>
      <c r="C131" s="467">
        <v>902373.166666667</v>
      </c>
      <c r="D131" s="466">
        <v>12</v>
      </c>
      <c r="E131" s="467">
        <f t="shared" si="160"/>
        <v>10828478</v>
      </c>
      <c r="F131" s="467">
        <f>1066.32925*12</f>
        <v>12795.951</v>
      </c>
      <c r="G131" s="468">
        <v>731878.24</v>
      </c>
      <c r="H131" s="470"/>
      <c r="I131" s="467">
        <f t="shared" si="161"/>
        <v>10083803.809</v>
      </c>
      <c r="J131" s="467">
        <v>200000</v>
      </c>
      <c r="K131" s="467">
        <v>0.2</v>
      </c>
      <c r="L131" s="467">
        <f t="shared" si="162"/>
        <v>2016760.7618</v>
      </c>
      <c r="M131" s="467">
        <f t="shared" si="163"/>
        <v>2216760.7618</v>
      </c>
      <c r="N131" s="467">
        <f t="shared" si="164"/>
        <v>2961434.9528</v>
      </c>
      <c r="O131" s="467">
        <f t="shared" si="165"/>
        <v>7867043.0472</v>
      </c>
      <c r="P131" s="467">
        <f t="shared" si="166"/>
        <v>21000</v>
      </c>
      <c r="Q131" s="467">
        <f t="shared" si="167"/>
        <v>33000</v>
      </c>
      <c r="R131" s="467">
        <f t="shared" si="168"/>
        <v>75000</v>
      </c>
      <c r="S131" s="467">
        <f t="shared" si="169"/>
        <v>95000</v>
      </c>
      <c r="T131" s="467">
        <f t="shared" si="170"/>
        <v>336000</v>
      </c>
      <c r="U131" s="467">
        <f t="shared" si="171"/>
        <v>1120090.331328</v>
      </c>
      <c r="V131" s="467">
        <f t="shared" si="172"/>
        <v>1680090.331328</v>
      </c>
      <c r="W131" s="474">
        <v>12</v>
      </c>
      <c r="X131" s="467">
        <f t="shared" si="173"/>
        <v>140007.527610667</v>
      </c>
      <c r="Y131" s="470"/>
      <c r="Z131" s="467">
        <f t="shared" si="174"/>
        <v>140007.527610667</v>
      </c>
      <c r="AA131" s="479">
        <v>92023.2162026667</v>
      </c>
      <c r="AB131" s="479">
        <f t="shared" si="175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306</v>
      </c>
      <c r="C132" s="467">
        <v>554373.75</v>
      </c>
      <c r="D132" s="466">
        <v>12</v>
      </c>
      <c r="E132" s="467">
        <f t="shared" si="160"/>
        <v>6652485</v>
      </c>
      <c r="F132" s="467">
        <f t="shared" ref="F132:F134" si="176">712.24525*12</f>
        <v>8546.943</v>
      </c>
      <c r="G132" s="468">
        <v>464998.8</v>
      </c>
      <c r="H132" s="470"/>
      <c r="I132" s="467">
        <f t="shared" si="161"/>
        <v>6178939.257</v>
      </c>
      <c r="J132" s="467">
        <v>200000</v>
      </c>
      <c r="K132" s="467">
        <v>0.2</v>
      </c>
      <c r="L132" s="467">
        <f t="shared" si="162"/>
        <v>1235787.8514</v>
      </c>
      <c r="M132" s="467">
        <f t="shared" si="163"/>
        <v>1435787.8514</v>
      </c>
      <c r="N132" s="467">
        <f t="shared" si="164"/>
        <v>1909333.5944</v>
      </c>
      <c r="O132" s="467">
        <f t="shared" si="165"/>
        <v>4743151.4056</v>
      </c>
      <c r="P132" s="467">
        <f t="shared" si="166"/>
        <v>21000</v>
      </c>
      <c r="Q132" s="467">
        <f t="shared" si="167"/>
        <v>33000</v>
      </c>
      <c r="R132" s="467">
        <f t="shared" si="168"/>
        <v>75000</v>
      </c>
      <c r="S132" s="467">
        <f t="shared" si="169"/>
        <v>95000</v>
      </c>
      <c r="T132" s="467">
        <f t="shared" si="170"/>
        <v>336000</v>
      </c>
      <c r="U132" s="467">
        <f t="shared" si="171"/>
        <v>370356.337344</v>
      </c>
      <c r="V132" s="467">
        <f t="shared" si="172"/>
        <v>930356.337344</v>
      </c>
      <c r="W132" s="474">
        <v>12</v>
      </c>
      <c r="X132" s="467">
        <f t="shared" si="173"/>
        <v>77529.6947786667</v>
      </c>
      <c r="Y132" s="470"/>
      <c r="Z132" s="467">
        <f t="shared" si="174"/>
        <v>77529.6947786667</v>
      </c>
      <c r="AA132" s="479">
        <v>46081.2025986667</v>
      </c>
      <c r="AB132" s="479">
        <f t="shared" si="175"/>
        <v>31448.49218</v>
      </c>
      <c r="AC132" s="479"/>
      <c r="AD132" s="479"/>
      <c r="AE132" s="479"/>
    </row>
    <row r="133" ht="18" spans="1:31">
      <c r="A133" s="464">
        <v>116</v>
      </c>
      <c r="B133" s="11" t="s">
        <v>308</v>
      </c>
      <c r="C133" s="467">
        <v>554373.75</v>
      </c>
      <c r="D133" s="466">
        <v>12</v>
      </c>
      <c r="E133" s="467">
        <f t="shared" si="160"/>
        <v>6652485</v>
      </c>
      <c r="F133" s="467">
        <f t="shared" si="176"/>
        <v>8546.943</v>
      </c>
      <c r="G133" s="468">
        <v>464998.8</v>
      </c>
      <c r="H133" s="470"/>
      <c r="I133" s="467">
        <f t="shared" si="161"/>
        <v>6178939.257</v>
      </c>
      <c r="J133" s="467">
        <v>200000</v>
      </c>
      <c r="K133" s="467">
        <v>0.2</v>
      </c>
      <c r="L133" s="467">
        <f t="shared" si="162"/>
        <v>1235787.8514</v>
      </c>
      <c r="M133" s="467">
        <f t="shared" si="163"/>
        <v>1435787.8514</v>
      </c>
      <c r="N133" s="467">
        <f t="shared" si="164"/>
        <v>1909333.5944</v>
      </c>
      <c r="O133" s="467">
        <f t="shared" si="165"/>
        <v>4743151.4056</v>
      </c>
      <c r="P133" s="467">
        <f t="shared" si="166"/>
        <v>21000</v>
      </c>
      <c r="Q133" s="467">
        <f t="shared" si="167"/>
        <v>33000</v>
      </c>
      <c r="R133" s="467">
        <f t="shared" si="168"/>
        <v>75000</v>
      </c>
      <c r="S133" s="467">
        <f t="shared" si="169"/>
        <v>95000</v>
      </c>
      <c r="T133" s="467">
        <f t="shared" si="170"/>
        <v>336000</v>
      </c>
      <c r="U133" s="467">
        <f t="shared" si="171"/>
        <v>370356.337344</v>
      </c>
      <c r="V133" s="467">
        <f t="shared" si="172"/>
        <v>930356.337344</v>
      </c>
      <c r="W133" s="474">
        <v>12</v>
      </c>
      <c r="X133" s="467">
        <f t="shared" si="173"/>
        <v>77529.6947786667</v>
      </c>
      <c r="Y133" s="470"/>
      <c r="Z133" s="467">
        <f t="shared" si="174"/>
        <v>77529.6947786667</v>
      </c>
      <c r="AA133" s="479">
        <v>46081.2025986667</v>
      </c>
      <c r="AB133" s="479">
        <f t="shared" si="175"/>
        <v>31448.49218</v>
      </c>
      <c r="AC133" s="479"/>
      <c r="AD133" s="479"/>
      <c r="AE133" s="479"/>
    </row>
    <row r="134" ht="18" spans="1:31">
      <c r="A134" s="464">
        <v>117</v>
      </c>
      <c r="B134" s="11" t="s">
        <v>310</v>
      </c>
      <c r="C134" s="467">
        <v>554373.75</v>
      </c>
      <c r="D134" s="466">
        <v>12</v>
      </c>
      <c r="E134" s="467">
        <f t="shared" si="160"/>
        <v>6652485</v>
      </c>
      <c r="F134" s="467">
        <f t="shared" si="176"/>
        <v>8546.943</v>
      </c>
      <c r="G134" s="468">
        <v>464998.8</v>
      </c>
      <c r="H134" s="470"/>
      <c r="I134" s="467">
        <f t="shared" si="161"/>
        <v>6178939.257</v>
      </c>
      <c r="J134" s="467">
        <v>200000</v>
      </c>
      <c r="K134" s="467">
        <v>0.2</v>
      </c>
      <c r="L134" s="467">
        <f t="shared" si="162"/>
        <v>1235787.8514</v>
      </c>
      <c r="M134" s="467">
        <f t="shared" si="163"/>
        <v>1435787.8514</v>
      </c>
      <c r="N134" s="467">
        <f t="shared" si="164"/>
        <v>1909333.5944</v>
      </c>
      <c r="O134" s="467">
        <f t="shared" si="165"/>
        <v>4743151.4056</v>
      </c>
      <c r="P134" s="467">
        <f t="shared" si="166"/>
        <v>21000</v>
      </c>
      <c r="Q134" s="467">
        <f t="shared" si="167"/>
        <v>33000</v>
      </c>
      <c r="R134" s="467">
        <f t="shared" si="168"/>
        <v>75000</v>
      </c>
      <c r="S134" s="467">
        <f t="shared" si="169"/>
        <v>95000</v>
      </c>
      <c r="T134" s="467">
        <f t="shared" si="170"/>
        <v>336000</v>
      </c>
      <c r="U134" s="467">
        <f t="shared" si="171"/>
        <v>370356.337344</v>
      </c>
      <c r="V134" s="467">
        <f t="shared" si="172"/>
        <v>930356.337344</v>
      </c>
      <c r="W134" s="474">
        <v>12</v>
      </c>
      <c r="X134" s="467">
        <f t="shared" si="173"/>
        <v>77529.6947786667</v>
      </c>
      <c r="Y134" s="470"/>
      <c r="Z134" s="467">
        <f t="shared" si="174"/>
        <v>77529.6947786667</v>
      </c>
      <c r="AA134" s="479">
        <v>46081.2025986667</v>
      </c>
      <c r="AB134" s="479">
        <f t="shared" si="175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229</v>
      </c>
      <c r="C135" s="467">
        <v>450086.5</v>
      </c>
      <c r="D135" s="466">
        <v>12</v>
      </c>
      <c r="E135" s="467">
        <f t="shared" si="160"/>
        <v>5401038</v>
      </c>
      <c r="F135" s="467">
        <f>576.62125*12</f>
        <v>6919.455</v>
      </c>
      <c r="G135" s="468">
        <v>374483.04</v>
      </c>
      <c r="H135" s="470"/>
      <c r="I135" s="467">
        <f t="shared" si="161"/>
        <v>5019635.505</v>
      </c>
      <c r="J135" s="467">
        <v>200000</v>
      </c>
      <c r="K135" s="467">
        <v>0.2</v>
      </c>
      <c r="L135" s="467">
        <f t="shared" si="162"/>
        <v>1003927.101</v>
      </c>
      <c r="M135" s="467">
        <f t="shared" si="163"/>
        <v>1203927.101</v>
      </c>
      <c r="N135" s="467">
        <f t="shared" si="164"/>
        <v>1585329.596</v>
      </c>
      <c r="O135" s="467">
        <f t="shared" si="165"/>
        <v>3815708.404</v>
      </c>
      <c r="P135" s="467">
        <f t="shared" si="166"/>
        <v>21000</v>
      </c>
      <c r="Q135" s="467">
        <f t="shared" si="167"/>
        <v>33000</v>
      </c>
      <c r="R135" s="467">
        <f t="shared" si="168"/>
        <v>75000</v>
      </c>
      <c r="S135" s="467">
        <f t="shared" si="169"/>
        <v>95000</v>
      </c>
      <c r="T135" s="467">
        <f t="shared" si="170"/>
        <v>336000</v>
      </c>
      <c r="U135" s="467">
        <f t="shared" si="171"/>
        <v>147770.01696</v>
      </c>
      <c r="V135" s="467">
        <f t="shared" si="172"/>
        <v>707770.01696</v>
      </c>
      <c r="W135" s="474">
        <v>12</v>
      </c>
      <c r="X135" s="467">
        <f t="shared" si="173"/>
        <v>58980.8347466667</v>
      </c>
      <c r="Y135" s="470"/>
      <c r="Z135" s="467">
        <f t="shared" si="174"/>
        <v>58980.8347466667</v>
      </c>
      <c r="AA135" s="479">
        <v>35221.9540866667</v>
      </c>
      <c r="AB135" s="479">
        <f t="shared" si="175"/>
        <v>23758.88066</v>
      </c>
      <c r="AC135" s="479"/>
      <c r="AD135" s="479"/>
      <c r="AE135" s="479"/>
    </row>
    <row r="136" ht="18" spans="1:31">
      <c r="A136" s="464">
        <v>119</v>
      </c>
      <c r="B136" s="11" t="s">
        <v>313</v>
      </c>
      <c r="C136" s="467">
        <v>450086.5</v>
      </c>
      <c r="D136" s="466">
        <v>12</v>
      </c>
      <c r="E136" s="467">
        <f t="shared" si="160"/>
        <v>5401038</v>
      </c>
      <c r="F136" s="467"/>
      <c r="G136" s="468">
        <v>374483.04</v>
      </c>
      <c r="H136" s="470"/>
      <c r="I136" s="467">
        <f t="shared" si="161"/>
        <v>5026554.96</v>
      </c>
      <c r="J136" s="467">
        <v>200000</v>
      </c>
      <c r="K136" s="467">
        <v>0.2</v>
      </c>
      <c r="L136" s="467">
        <f t="shared" si="162"/>
        <v>1005310.992</v>
      </c>
      <c r="M136" s="467">
        <f t="shared" si="163"/>
        <v>1205310.992</v>
      </c>
      <c r="N136" s="467">
        <f t="shared" si="164"/>
        <v>1579794.032</v>
      </c>
      <c r="O136" s="467">
        <f t="shared" si="165"/>
        <v>3821243.968</v>
      </c>
      <c r="P136" s="467">
        <f t="shared" si="166"/>
        <v>21000</v>
      </c>
      <c r="Q136" s="467">
        <f t="shared" si="167"/>
        <v>33000</v>
      </c>
      <c r="R136" s="467">
        <f t="shared" si="168"/>
        <v>75000</v>
      </c>
      <c r="S136" s="467">
        <f t="shared" si="169"/>
        <v>95000</v>
      </c>
      <c r="T136" s="467">
        <f t="shared" si="170"/>
        <v>336000</v>
      </c>
      <c r="U136" s="467">
        <f t="shared" si="171"/>
        <v>149098.55232</v>
      </c>
      <c r="V136" s="467">
        <f t="shared" si="172"/>
        <v>709098.55232</v>
      </c>
      <c r="W136" s="474">
        <v>12</v>
      </c>
      <c r="X136" s="467">
        <f t="shared" si="173"/>
        <v>59091.5460266667</v>
      </c>
      <c r="Y136" s="470"/>
      <c r="Z136" s="467">
        <f t="shared" si="174"/>
        <v>59091.5460266667</v>
      </c>
      <c r="AA136" s="479">
        <v>35318.8264566667</v>
      </c>
      <c r="AB136" s="479">
        <f t="shared" si="175"/>
        <v>23772.71957</v>
      </c>
      <c r="AC136" s="479"/>
      <c r="AD136" s="479"/>
      <c r="AE136" s="479"/>
    </row>
    <row r="137" ht="18" spans="1:31">
      <c r="A137" s="464">
        <v>120</v>
      </c>
      <c r="B137" s="11" t="s">
        <v>314</v>
      </c>
      <c r="C137" s="467">
        <v>510248.916666667</v>
      </c>
      <c r="D137" s="466">
        <v>12</v>
      </c>
      <c r="E137" s="467">
        <f t="shared" si="160"/>
        <v>6122987</v>
      </c>
      <c r="F137" s="467"/>
      <c r="G137" s="468">
        <v>374483.04</v>
      </c>
      <c r="H137" s="470"/>
      <c r="I137" s="467">
        <f t="shared" si="161"/>
        <v>5748503.96</v>
      </c>
      <c r="J137" s="467">
        <v>200000</v>
      </c>
      <c r="K137" s="467">
        <v>0.2</v>
      </c>
      <c r="L137" s="467">
        <f t="shared" si="162"/>
        <v>1149700.792</v>
      </c>
      <c r="M137" s="467">
        <f t="shared" si="163"/>
        <v>1349700.792</v>
      </c>
      <c r="N137" s="467">
        <f t="shared" si="164"/>
        <v>1724183.832</v>
      </c>
      <c r="O137" s="467">
        <f t="shared" si="165"/>
        <v>4398803.168</v>
      </c>
      <c r="P137" s="467">
        <f t="shared" si="166"/>
        <v>21000</v>
      </c>
      <c r="Q137" s="467">
        <f t="shared" si="167"/>
        <v>33000</v>
      </c>
      <c r="R137" s="467">
        <f t="shared" si="168"/>
        <v>75000</v>
      </c>
      <c r="S137" s="467">
        <f t="shared" si="169"/>
        <v>95000</v>
      </c>
      <c r="T137" s="467">
        <f t="shared" si="170"/>
        <v>336000</v>
      </c>
      <c r="U137" s="467">
        <f t="shared" si="171"/>
        <v>287712.760320001</v>
      </c>
      <c r="V137" s="467">
        <f t="shared" si="172"/>
        <v>847712.760320001</v>
      </c>
      <c r="W137" s="474">
        <v>12</v>
      </c>
      <c r="X137" s="467">
        <f t="shared" si="173"/>
        <v>70642.7300266667</v>
      </c>
      <c r="Y137" s="470"/>
      <c r="Z137" s="467">
        <f t="shared" si="174"/>
        <v>70642.7300266667</v>
      </c>
      <c r="AA137" s="479">
        <v>35318.8264566667</v>
      </c>
      <c r="AB137" s="479">
        <f t="shared" si="175"/>
        <v>35323.90357</v>
      </c>
      <c r="AC137" s="479"/>
      <c r="AD137" s="479"/>
      <c r="AE137" s="479"/>
    </row>
    <row r="138" ht="18" spans="1:31">
      <c r="A138" s="464">
        <v>121</v>
      </c>
      <c r="B138" s="11" t="s">
        <v>316</v>
      </c>
      <c r="C138" s="467">
        <v>437895.166666667</v>
      </c>
      <c r="D138" s="466">
        <v>12</v>
      </c>
      <c r="E138" s="467">
        <f t="shared" si="160"/>
        <v>5254742</v>
      </c>
      <c r="F138" s="467"/>
      <c r="G138" s="468">
        <v>362779.36</v>
      </c>
      <c r="H138" s="470"/>
      <c r="I138" s="467">
        <f t="shared" si="161"/>
        <v>4891962.64</v>
      </c>
      <c r="J138" s="467">
        <v>200000</v>
      </c>
      <c r="K138" s="467">
        <v>0.2</v>
      </c>
      <c r="L138" s="467">
        <f t="shared" si="162"/>
        <v>978392.528000001</v>
      </c>
      <c r="M138" s="467">
        <f t="shared" si="163"/>
        <v>1178392.528</v>
      </c>
      <c r="N138" s="467">
        <f t="shared" si="164"/>
        <v>1541171.888</v>
      </c>
      <c r="O138" s="467">
        <f t="shared" si="165"/>
        <v>3713570.112</v>
      </c>
      <c r="P138" s="467">
        <f t="shared" si="166"/>
        <v>21000</v>
      </c>
      <c r="Q138" s="467">
        <f t="shared" si="167"/>
        <v>33000</v>
      </c>
      <c r="R138" s="467">
        <f t="shared" si="168"/>
        <v>75000</v>
      </c>
      <c r="S138" s="467">
        <f t="shared" si="169"/>
        <v>95000</v>
      </c>
      <c r="T138" s="467">
        <f t="shared" si="170"/>
        <v>336000</v>
      </c>
      <c r="U138" s="467">
        <f t="shared" si="171"/>
        <v>123256.826880001</v>
      </c>
      <c r="V138" s="467">
        <f t="shared" si="172"/>
        <v>683256.826880001</v>
      </c>
      <c r="W138" s="474">
        <v>12</v>
      </c>
      <c r="X138" s="467">
        <f t="shared" si="173"/>
        <v>56938.0689066667</v>
      </c>
      <c r="Y138" s="470"/>
      <c r="Z138" s="467">
        <f t="shared" si="174"/>
        <v>56938.0689066667</v>
      </c>
      <c r="AA138" s="479">
        <v>34968.8824146667</v>
      </c>
      <c r="AB138" s="479">
        <f t="shared" si="175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318</v>
      </c>
      <c r="C139" s="467">
        <v>425703.833333333</v>
      </c>
      <c r="D139" s="466">
        <v>12</v>
      </c>
      <c r="E139" s="467">
        <f t="shared" si="160"/>
        <v>5108446</v>
      </c>
      <c r="F139" s="467">
        <f>538.022*12</f>
        <v>6456.264</v>
      </c>
      <c r="G139" s="468">
        <v>351075.68</v>
      </c>
      <c r="H139" s="470"/>
      <c r="I139" s="467">
        <f t="shared" si="161"/>
        <v>4750914.056</v>
      </c>
      <c r="J139" s="467">
        <v>200000</v>
      </c>
      <c r="K139" s="467">
        <v>0.2</v>
      </c>
      <c r="L139" s="467">
        <f t="shared" si="162"/>
        <v>950182.811199999</v>
      </c>
      <c r="M139" s="467">
        <f t="shared" si="163"/>
        <v>1150182.8112</v>
      </c>
      <c r="N139" s="467">
        <f t="shared" si="164"/>
        <v>1507714.7552</v>
      </c>
      <c r="O139" s="467">
        <f t="shared" si="165"/>
        <v>3600731.2448</v>
      </c>
      <c r="P139" s="467">
        <f t="shared" si="166"/>
        <v>21000</v>
      </c>
      <c r="Q139" s="467">
        <f t="shared" si="167"/>
        <v>33000</v>
      </c>
      <c r="R139" s="467">
        <f t="shared" si="168"/>
        <v>75000</v>
      </c>
      <c r="S139" s="467">
        <f t="shared" si="169"/>
        <v>95000</v>
      </c>
      <c r="T139" s="467">
        <f t="shared" si="170"/>
        <v>336000</v>
      </c>
      <c r="U139" s="467">
        <f t="shared" si="171"/>
        <v>96175.4987519992</v>
      </c>
      <c r="V139" s="467">
        <f t="shared" si="172"/>
        <v>656175.498751999</v>
      </c>
      <c r="W139" s="474">
        <v>12</v>
      </c>
      <c r="X139" s="467">
        <f t="shared" si="173"/>
        <v>54681.2915626666</v>
      </c>
      <c r="Y139" s="470"/>
      <c r="Z139" s="467">
        <f t="shared" si="174"/>
        <v>54681.2915626666</v>
      </c>
      <c r="AA139" s="479">
        <v>32848.5634026667</v>
      </c>
      <c r="AB139" s="479">
        <f t="shared" si="175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61</v>
      </c>
      <c r="C140" s="616">
        <v>591753.166666667</v>
      </c>
      <c r="D140" s="466">
        <v>12</v>
      </c>
      <c r="E140" s="467">
        <f t="shared" si="160"/>
        <v>7101038</v>
      </c>
      <c r="F140" s="467">
        <f>576.62125*12</f>
        <v>6919.455</v>
      </c>
      <c r="G140" s="468">
        <v>374483.04</v>
      </c>
      <c r="H140" s="470"/>
      <c r="I140" s="467">
        <f t="shared" si="161"/>
        <v>6719635.505</v>
      </c>
      <c r="J140" s="467">
        <v>200000</v>
      </c>
      <c r="K140" s="467">
        <v>0.2</v>
      </c>
      <c r="L140" s="467">
        <f t="shared" si="162"/>
        <v>1343927.101</v>
      </c>
      <c r="M140" s="467">
        <f t="shared" si="163"/>
        <v>1543927.101</v>
      </c>
      <c r="N140" s="467">
        <f t="shared" si="164"/>
        <v>1925329.596</v>
      </c>
      <c r="O140" s="467">
        <f t="shared" si="165"/>
        <v>5175708.404</v>
      </c>
      <c r="P140" s="467">
        <f t="shared" si="166"/>
        <v>21000</v>
      </c>
      <c r="Q140" s="467">
        <f t="shared" si="167"/>
        <v>33000</v>
      </c>
      <c r="R140" s="467">
        <f t="shared" si="168"/>
        <v>75000</v>
      </c>
      <c r="S140" s="467">
        <f t="shared" si="169"/>
        <v>95000</v>
      </c>
      <c r="T140" s="467">
        <f t="shared" si="170"/>
        <v>336000</v>
      </c>
      <c r="U140" s="467">
        <f t="shared" si="171"/>
        <v>474170.016960001</v>
      </c>
      <c r="V140" s="467">
        <f t="shared" si="172"/>
        <v>1034170.01696</v>
      </c>
      <c r="W140" s="474">
        <v>12</v>
      </c>
      <c r="X140" s="467">
        <f t="shared" si="173"/>
        <v>86180.8347466667</v>
      </c>
      <c r="Y140" s="470"/>
      <c r="Z140" s="467">
        <f t="shared" si="174"/>
        <v>86180.8347466667</v>
      </c>
      <c r="AA140" s="479">
        <v>35221.9540866667</v>
      </c>
      <c r="AB140" s="479">
        <f t="shared" si="175"/>
        <v>50958.88066</v>
      </c>
      <c r="AC140" s="479"/>
      <c r="AD140" s="479"/>
      <c r="AE140" s="479"/>
    </row>
    <row r="141" ht="18" spans="1:31">
      <c r="A141" s="464">
        <v>124</v>
      </c>
      <c r="B141" s="18" t="s">
        <v>320</v>
      </c>
      <c r="C141" s="467">
        <v>413512.5</v>
      </c>
      <c r="D141" s="466">
        <v>12</v>
      </c>
      <c r="E141" s="467">
        <f t="shared" si="160"/>
        <v>4962150</v>
      </c>
      <c r="F141" s="467">
        <v>0</v>
      </c>
      <c r="G141" s="468">
        <v>339372</v>
      </c>
      <c r="H141" s="470"/>
      <c r="I141" s="467">
        <f t="shared" si="161"/>
        <v>4622778</v>
      </c>
      <c r="J141" s="467">
        <v>200000</v>
      </c>
      <c r="K141" s="467">
        <v>0.2</v>
      </c>
      <c r="L141" s="467">
        <f t="shared" si="162"/>
        <v>924555.6</v>
      </c>
      <c r="M141" s="467">
        <f t="shared" si="163"/>
        <v>1124555.6</v>
      </c>
      <c r="N141" s="467">
        <f t="shared" si="164"/>
        <v>1463927.6</v>
      </c>
      <c r="O141" s="467">
        <f t="shared" si="165"/>
        <v>3498222.4</v>
      </c>
      <c r="P141" s="467">
        <f t="shared" si="166"/>
        <v>21000</v>
      </c>
      <c r="Q141" s="467">
        <f t="shared" si="167"/>
        <v>33000</v>
      </c>
      <c r="R141" s="467">
        <f t="shared" si="168"/>
        <v>75000</v>
      </c>
      <c r="S141" s="467">
        <f t="shared" si="169"/>
        <v>95000</v>
      </c>
      <c r="T141" s="467">
        <f t="shared" si="170"/>
        <v>336000</v>
      </c>
      <c r="U141" s="467">
        <f t="shared" si="171"/>
        <v>71573.376</v>
      </c>
      <c r="V141" s="467">
        <f t="shared" si="172"/>
        <v>631573.376</v>
      </c>
      <c r="W141" s="474">
        <v>12</v>
      </c>
      <c r="X141" s="467">
        <f t="shared" si="173"/>
        <v>52631.1146666667</v>
      </c>
      <c r="Y141" s="470"/>
      <c r="Z141" s="467">
        <f t="shared" si="174"/>
        <v>52631.1146666667</v>
      </c>
      <c r="AA141" s="479">
        <v>31749.1752666667</v>
      </c>
      <c r="AB141" s="479">
        <f t="shared" si="175"/>
        <v>20881.9394</v>
      </c>
      <c r="AC141" s="479"/>
      <c r="AD141" s="479"/>
      <c r="AE141" s="479"/>
    </row>
    <row r="142" ht="18" spans="1:31">
      <c r="A142" s="464">
        <v>125</v>
      </c>
      <c r="B142" s="11" t="s">
        <v>322</v>
      </c>
      <c r="C142" s="467">
        <v>368901.5</v>
      </c>
      <c r="D142" s="466">
        <v>12</v>
      </c>
      <c r="E142" s="467">
        <f t="shared" si="160"/>
        <v>4426818</v>
      </c>
      <c r="F142" s="467"/>
      <c r="G142" s="468">
        <v>296545.44</v>
      </c>
      <c r="H142" s="470"/>
      <c r="I142" s="467">
        <f t="shared" si="161"/>
        <v>4130272.56</v>
      </c>
      <c r="J142" s="467">
        <v>200000</v>
      </c>
      <c r="K142" s="467">
        <v>0.2</v>
      </c>
      <c r="L142" s="467">
        <f t="shared" si="162"/>
        <v>826054.512</v>
      </c>
      <c r="M142" s="467">
        <f t="shared" si="163"/>
        <v>1026054.512</v>
      </c>
      <c r="N142" s="467">
        <f t="shared" si="164"/>
        <v>1322599.952</v>
      </c>
      <c r="O142" s="467">
        <f t="shared" si="165"/>
        <v>3104218.048</v>
      </c>
      <c r="P142" s="467">
        <f t="shared" si="166"/>
        <v>21000</v>
      </c>
      <c r="Q142" s="467">
        <f t="shared" si="167"/>
        <v>33000</v>
      </c>
      <c r="R142" s="467">
        <f t="shared" si="168"/>
        <v>75000</v>
      </c>
      <c r="S142" s="467">
        <f t="shared" si="169"/>
        <v>95000</v>
      </c>
      <c r="T142" s="467">
        <f t="shared" si="170"/>
        <v>315885.79008</v>
      </c>
      <c r="U142" s="467"/>
      <c r="V142" s="467">
        <f t="shared" si="172"/>
        <v>539885.79008</v>
      </c>
      <c r="W142" s="474">
        <v>12</v>
      </c>
      <c r="X142" s="467">
        <f t="shared" si="173"/>
        <v>44990.4825066667</v>
      </c>
      <c r="Y142" s="470"/>
      <c r="Z142" s="467">
        <f t="shared" si="174"/>
        <v>44990.4825066667</v>
      </c>
      <c r="AA142" s="479">
        <v>27105.9865626667</v>
      </c>
      <c r="AB142" s="479">
        <f t="shared" si="175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323</v>
      </c>
      <c r="C143" s="467">
        <v>376837.416666667</v>
      </c>
      <c r="D143" s="466">
        <v>12</v>
      </c>
      <c r="E143" s="467">
        <f t="shared" si="160"/>
        <v>4522049</v>
      </c>
      <c r="F143" s="467">
        <f>469.4825*12</f>
        <v>5633.79</v>
      </c>
      <c r="G143" s="468">
        <v>304163.92</v>
      </c>
      <c r="H143" s="470"/>
      <c r="I143" s="467">
        <f t="shared" si="161"/>
        <v>4212251.29</v>
      </c>
      <c r="J143" s="467">
        <v>200000</v>
      </c>
      <c r="K143" s="467">
        <v>0.2</v>
      </c>
      <c r="L143" s="467">
        <f t="shared" si="162"/>
        <v>842450.258000001</v>
      </c>
      <c r="M143" s="467">
        <f t="shared" si="163"/>
        <v>1042450.258</v>
      </c>
      <c r="N143" s="467">
        <f t="shared" si="164"/>
        <v>1352247.968</v>
      </c>
      <c r="O143" s="467">
        <f t="shared" si="165"/>
        <v>3169801.032</v>
      </c>
      <c r="P143" s="467">
        <f t="shared" si="166"/>
        <v>21000</v>
      </c>
      <c r="Q143" s="467">
        <f t="shared" si="167"/>
        <v>33000</v>
      </c>
      <c r="R143" s="467">
        <f t="shared" si="168"/>
        <v>75000</v>
      </c>
      <c r="S143" s="467">
        <f t="shared" si="169"/>
        <v>95000</v>
      </c>
      <c r="T143" s="467">
        <f t="shared" si="170"/>
        <v>329658.216720001</v>
      </c>
      <c r="U143" s="467"/>
      <c r="V143" s="467">
        <f t="shared" si="172"/>
        <v>553658.216720001</v>
      </c>
      <c r="W143" s="474">
        <v>12</v>
      </c>
      <c r="X143" s="467">
        <f t="shared" si="173"/>
        <v>46138.1847266667</v>
      </c>
      <c r="Y143" s="470"/>
      <c r="Z143" s="467">
        <f t="shared" si="174"/>
        <v>46138.1847266667</v>
      </c>
      <c r="AA143" s="479">
        <v>27794.2066266667</v>
      </c>
      <c r="AB143" s="479">
        <f t="shared" si="175"/>
        <v>18343.9781</v>
      </c>
      <c r="AC143" s="479"/>
      <c r="AD143" s="479"/>
      <c r="AE143" s="479"/>
    </row>
    <row r="144" ht="18" spans="1:31">
      <c r="A144" s="464">
        <v>127</v>
      </c>
      <c r="B144" s="11" t="s">
        <v>325</v>
      </c>
      <c r="C144" s="467">
        <v>376837.416666667</v>
      </c>
      <c r="D144" s="466">
        <v>12</v>
      </c>
      <c r="E144" s="467">
        <f t="shared" si="160"/>
        <v>4522049</v>
      </c>
      <c r="F144" s="467"/>
      <c r="G144" s="468">
        <v>304163.92</v>
      </c>
      <c r="H144" s="470"/>
      <c r="I144" s="467">
        <f t="shared" si="161"/>
        <v>4217885.08</v>
      </c>
      <c r="J144" s="467">
        <v>200000</v>
      </c>
      <c r="K144" s="467">
        <v>0.2</v>
      </c>
      <c r="L144" s="467">
        <f t="shared" si="162"/>
        <v>843577.016000001</v>
      </c>
      <c r="M144" s="467">
        <f t="shared" si="163"/>
        <v>1043577.016</v>
      </c>
      <c r="N144" s="467">
        <f t="shared" si="164"/>
        <v>1347740.936</v>
      </c>
      <c r="O144" s="467">
        <f t="shared" si="165"/>
        <v>3174308.064</v>
      </c>
      <c r="P144" s="467">
        <f t="shared" si="166"/>
        <v>21000</v>
      </c>
      <c r="Q144" s="467">
        <f t="shared" si="167"/>
        <v>33000</v>
      </c>
      <c r="R144" s="467">
        <f t="shared" si="168"/>
        <v>75000</v>
      </c>
      <c r="S144" s="467">
        <f t="shared" si="169"/>
        <v>95000</v>
      </c>
      <c r="T144" s="467">
        <f t="shared" si="170"/>
        <v>330604.693440001</v>
      </c>
      <c r="U144" s="467"/>
      <c r="V144" s="467">
        <f t="shared" si="172"/>
        <v>554604.693440001</v>
      </c>
      <c r="W144" s="474">
        <v>12</v>
      </c>
      <c r="X144" s="467">
        <f t="shared" si="173"/>
        <v>46217.0577866667</v>
      </c>
      <c r="Y144" s="470"/>
      <c r="Z144" s="467">
        <f t="shared" si="174"/>
        <v>46217.0577866667</v>
      </c>
      <c r="AA144" s="479">
        <v>27873.0796866667</v>
      </c>
      <c r="AB144" s="479">
        <f t="shared" si="175"/>
        <v>18343.9781</v>
      </c>
      <c r="AC144" s="479"/>
      <c r="AD144" s="479"/>
      <c r="AE144" s="479"/>
    </row>
    <row r="145" ht="18" spans="1:31">
      <c r="A145" s="464">
        <v>128</v>
      </c>
      <c r="B145" s="11" t="s">
        <v>326</v>
      </c>
      <c r="C145" s="467">
        <v>360965.583333333</v>
      </c>
      <c r="D145" s="466">
        <v>12</v>
      </c>
      <c r="E145" s="467">
        <f t="shared" si="160"/>
        <v>4331587</v>
      </c>
      <c r="F145" s="467"/>
      <c r="G145" s="468">
        <v>288926.96</v>
      </c>
      <c r="H145" s="470"/>
      <c r="I145" s="467">
        <f t="shared" si="161"/>
        <v>4042660.04</v>
      </c>
      <c r="J145" s="467">
        <v>200000</v>
      </c>
      <c r="K145" s="467">
        <v>0.2</v>
      </c>
      <c r="L145" s="467">
        <f t="shared" si="162"/>
        <v>808532.007999999</v>
      </c>
      <c r="M145" s="467">
        <f t="shared" si="163"/>
        <v>1008532.008</v>
      </c>
      <c r="N145" s="467">
        <f t="shared" si="164"/>
        <v>1297458.968</v>
      </c>
      <c r="O145" s="467">
        <f t="shared" si="165"/>
        <v>3034128.032</v>
      </c>
      <c r="P145" s="467">
        <f t="shared" si="166"/>
        <v>21000</v>
      </c>
      <c r="Q145" s="467">
        <f t="shared" si="167"/>
        <v>33000</v>
      </c>
      <c r="R145" s="467">
        <f t="shared" si="168"/>
        <v>75000</v>
      </c>
      <c r="S145" s="467">
        <f t="shared" si="169"/>
        <v>95000</v>
      </c>
      <c r="T145" s="467">
        <f t="shared" si="170"/>
        <v>301166.886719999</v>
      </c>
      <c r="U145" s="467"/>
      <c r="V145" s="467">
        <f t="shared" si="172"/>
        <v>525166.886719999</v>
      </c>
      <c r="W145" s="474">
        <v>12</v>
      </c>
      <c r="X145" s="467">
        <f t="shared" si="173"/>
        <v>43763.9072266666</v>
      </c>
      <c r="Y145" s="470"/>
      <c r="Z145" s="467">
        <f t="shared" si="174"/>
        <v>43763.9072266666</v>
      </c>
      <c r="AA145" s="479">
        <v>27105.9865626667</v>
      </c>
      <c r="AB145" s="479">
        <f t="shared" si="175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328</v>
      </c>
      <c r="C146" s="467">
        <v>323165.333333333</v>
      </c>
      <c r="D146" s="466">
        <v>12</v>
      </c>
      <c r="E146" s="467">
        <f t="shared" si="160"/>
        <v>3877984</v>
      </c>
      <c r="F146" s="467"/>
      <c r="G146" s="468">
        <v>252638.72</v>
      </c>
      <c r="H146" s="470"/>
      <c r="I146" s="467">
        <f t="shared" si="161"/>
        <v>3625345.28</v>
      </c>
      <c r="J146" s="467">
        <v>200000</v>
      </c>
      <c r="K146" s="467">
        <v>0.2</v>
      </c>
      <c r="L146" s="467">
        <f t="shared" si="162"/>
        <v>725069.055999999</v>
      </c>
      <c r="M146" s="467">
        <f t="shared" si="163"/>
        <v>925069.055999999</v>
      </c>
      <c r="N146" s="467">
        <f t="shared" si="164"/>
        <v>1177707.776</v>
      </c>
      <c r="O146" s="467">
        <f t="shared" si="165"/>
        <v>2700276.224</v>
      </c>
      <c r="P146" s="467">
        <f t="shared" si="166"/>
        <v>21000</v>
      </c>
      <c r="Q146" s="467">
        <f t="shared" si="167"/>
        <v>33000</v>
      </c>
      <c r="R146" s="467">
        <f t="shared" si="168"/>
        <v>75000</v>
      </c>
      <c r="S146" s="467">
        <f t="shared" si="169"/>
        <v>95000</v>
      </c>
      <c r="T146" s="467">
        <f t="shared" si="170"/>
        <v>231058.007039999</v>
      </c>
      <c r="U146" s="467"/>
      <c r="V146" s="467">
        <f t="shared" si="172"/>
        <v>455058.007039999</v>
      </c>
      <c r="W146" s="474">
        <v>12</v>
      </c>
      <c r="X146" s="467">
        <f t="shared" si="173"/>
        <v>37921.5005866666</v>
      </c>
      <c r="Y146" s="470"/>
      <c r="Z146" s="467">
        <f t="shared" si="174"/>
        <v>37921.5005866666</v>
      </c>
      <c r="AA146" s="479">
        <v>22338.4826046667</v>
      </c>
      <c r="AB146" s="479">
        <f t="shared" si="175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330</v>
      </c>
      <c r="C147" s="467">
        <v>368901.5</v>
      </c>
      <c r="D147" s="466">
        <v>12</v>
      </c>
      <c r="E147" s="467">
        <f t="shared" si="160"/>
        <v>4426818</v>
      </c>
      <c r="F147" s="467"/>
      <c r="G147" s="468">
        <v>296545.44</v>
      </c>
      <c r="H147" s="470"/>
      <c r="I147" s="467">
        <f t="shared" si="161"/>
        <v>4130272.56</v>
      </c>
      <c r="J147" s="467">
        <v>200000</v>
      </c>
      <c r="K147" s="467">
        <v>0.2</v>
      </c>
      <c r="L147" s="467">
        <f t="shared" si="162"/>
        <v>826054.512</v>
      </c>
      <c r="M147" s="467">
        <f t="shared" si="163"/>
        <v>1026054.512</v>
      </c>
      <c r="N147" s="467">
        <f t="shared" si="164"/>
        <v>1322599.952</v>
      </c>
      <c r="O147" s="467">
        <f t="shared" si="165"/>
        <v>3104218.048</v>
      </c>
      <c r="P147" s="467">
        <f t="shared" si="166"/>
        <v>21000</v>
      </c>
      <c r="Q147" s="467">
        <f t="shared" si="167"/>
        <v>33000</v>
      </c>
      <c r="R147" s="467">
        <f t="shared" si="168"/>
        <v>75000</v>
      </c>
      <c r="S147" s="467">
        <f t="shared" si="169"/>
        <v>95000</v>
      </c>
      <c r="T147" s="467">
        <f t="shared" si="170"/>
        <v>315885.79008</v>
      </c>
      <c r="U147" s="467"/>
      <c r="V147" s="467">
        <f t="shared" si="172"/>
        <v>539885.79008</v>
      </c>
      <c r="W147" s="474">
        <v>12</v>
      </c>
      <c r="X147" s="467">
        <f t="shared" si="173"/>
        <v>44990.4825066667</v>
      </c>
      <c r="Y147" s="470"/>
      <c r="Z147" s="467">
        <f t="shared" si="174"/>
        <v>44990.4825066667</v>
      </c>
      <c r="AA147" s="479">
        <v>27105.9865626667</v>
      </c>
      <c r="AB147" s="479">
        <f t="shared" si="175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332</v>
      </c>
      <c r="C148" s="467">
        <v>330481.666666667</v>
      </c>
      <c r="D148" s="466">
        <v>12</v>
      </c>
      <c r="E148" s="467">
        <f t="shared" si="160"/>
        <v>3965780</v>
      </c>
      <c r="F148" s="467"/>
      <c r="G148" s="468">
        <v>259662.4</v>
      </c>
      <c r="H148" s="470"/>
      <c r="I148" s="467">
        <f t="shared" si="161"/>
        <v>3706117.6</v>
      </c>
      <c r="J148" s="467">
        <v>200000</v>
      </c>
      <c r="K148" s="467">
        <v>0.2</v>
      </c>
      <c r="L148" s="467">
        <f t="shared" si="162"/>
        <v>741223.520000001</v>
      </c>
      <c r="M148" s="467">
        <f t="shared" si="163"/>
        <v>941223.520000001</v>
      </c>
      <c r="N148" s="467">
        <f t="shared" si="164"/>
        <v>1200885.92</v>
      </c>
      <c r="O148" s="467">
        <f t="shared" si="165"/>
        <v>2764894.08</v>
      </c>
      <c r="P148" s="467">
        <f t="shared" si="166"/>
        <v>21000</v>
      </c>
      <c r="Q148" s="467">
        <f t="shared" si="167"/>
        <v>33000</v>
      </c>
      <c r="R148" s="467">
        <f t="shared" si="168"/>
        <v>75000</v>
      </c>
      <c r="S148" s="467">
        <f t="shared" si="169"/>
        <v>95000</v>
      </c>
      <c r="T148" s="467">
        <f t="shared" si="170"/>
        <v>244627.756800001</v>
      </c>
      <c r="U148" s="467"/>
      <c r="V148" s="467">
        <f t="shared" si="172"/>
        <v>468627.756800001</v>
      </c>
      <c r="W148" s="474">
        <v>12</v>
      </c>
      <c r="X148" s="467">
        <f t="shared" si="173"/>
        <v>39052.3130666667</v>
      </c>
      <c r="Y148" s="470"/>
      <c r="Z148" s="467">
        <f t="shared" si="174"/>
        <v>39052.3130666667</v>
      </c>
      <c r="AA148" s="479">
        <v>23036.0123466667</v>
      </c>
      <c r="AB148" s="479">
        <f t="shared" si="175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334</v>
      </c>
      <c r="C149" s="467">
        <v>368901.5</v>
      </c>
      <c r="D149" s="466">
        <v>12</v>
      </c>
      <c r="E149" s="467">
        <f t="shared" si="160"/>
        <v>4426818</v>
      </c>
      <c r="F149" s="467">
        <f>457.041*12</f>
        <v>5484.492</v>
      </c>
      <c r="G149" s="468">
        <v>296545.44</v>
      </c>
      <c r="H149" s="470"/>
      <c r="I149" s="467">
        <f t="shared" si="161"/>
        <v>4124788.068</v>
      </c>
      <c r="J149" s="467">
        <v>200000</v>
      </c>
      <c r="K149" s="467">
        <v>0.2</v>
      </c>
      <c r="L149" s="467">
        <f t="shared" si="162"/>
        <v>824957.6136</v>
      </c>
      <c r="M149" s="467">
        <f t="shared" si="163"/>
        <v>1024957.6136</v>
      </c>
      <c r="N149" s="467">
        <f t="shared" si="164"/>
        <v>1326987.5456</v>
      </c>
      <c r="O149" s="467">
        <f t="shared" si="165"/>
        <v>3099830.4544</v>
      </c>
      <c r="P149" s="467">
        <f t="shared" si="166"/>
        <v>21000</v>
      </c>
      <c r="Q149" s="467">
        <f t="shared" si="167"/>
        <v>33000</v>
      </c>
      <c r="R149" s="467">
        <f t="shared" si="168"/>
        <v>75000</v>
      </c>
      <c r="S149" s="467">
        <f t="shared" si="169"/>
        <v>95000</v>
      </c>
      <c r="T149" s="467">
        <f t="shared" si="170"/>
        <v>314964.395424</v>
      </c>
      <c r="U149" s="467"/>
      <c r="V149" s="467">
        <f t="shared" si="172"/>
        <v>538964.395424</v>
      </c>
      <c r="W149" s="474">
        <v>12</v>
      </c>
      <c r="X149" s="467">
        <f t="shared" si="173"/>
        <v>44913.6996186667</v>
      </c>
      <c r="Y149" s="470"/>
      <c r="Z149" s="467">
        <f t="shared" si="174"/>
        <v>44913.6996186667</v>
      </c>
      <c r="AA149" s="479">
        <v>27029.2036746667</v>
      </c>
      <c r="AB149" s="479">
        <f t="shared" si="175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335</v>
      </c>
      <c r="C150" s="467">
        <v>330481.666666667</v>
      </c>
      <c r="D150" s="466">
        <v>12</v>
      </c>
      <c r="E150" s="467">
        <f t="shared" si="160"/>
        <v>3965780</v>
      </c>
      <c r="F150" s="467"/>
      <c r="G150" s="468">
        <v>259662.4</v>
      </c>
      <c r="H150" s="470"/>
      <c r="I150" s="467">
        <f t="shared" si="161"/>
        <v>3706117.6</v>
      </c>
      <c r="J150" s="467">
        <v>200000</v>
      </c>
      <c r="K150" s="467">
        <v>0.2</v>
      </c>
      <c r="L150" s="467">
        <f t="shared" si="162"/>
        <v>741223.520000001</v>
      </c>
      <c r="M150" s="467">
        <f t="shared" si="163"/>
        <v>941223.520000001</v>
      </c>
      <c r="N150" s="467">
        <f t="shared" si="164"/>
        <v>1200885.92</v>
      </c>
      <c r="O150" s="467">
        <f t="shared" si="165"/>
        <v>2764894.08</v>
      </c>
      <c r="P150" s="467">
        <f t="shared" si="166"/>
        <v>21000</v>
      </c>
      <c r="Q150" s="467">
        <f t="shared" si="167"/>
        <v>33000</v>
      </c>
      <c r="R150" s="467">
        <f t="shared" si="168"/>
        <v>75000</v>
      </c>
      <c r="S150" s="467">
        <f t="shared" si="169"/>
        <v>95000</v>
      </c>
      <c r="T150" s="467">
        <f t="shared" si="170"/>
        <v>244627.756800001</v>
      </c>
      <c r="U150" s="467"/>
      <c r="V150" s="467">
        <f t="shared" si="172"/>
        <v>468627.756800001</v>
      </c>
      <c r="W150" s="474">
        <v>12</v>
      </c>
      <c r="X150" s="467">
        <f t="shared" si="173"/>
        <v>39052.3130666667</v>
      </c>
      <c r="Y150" s="470"/>
      <c r="Z150" s="467">
        <f t="shared" si="174"/>
        <v>39052.3130666667</v>
      </c>
      <c r="AA150" s="479">
        <v>22338.4826046667</v>
      </c>
      <c r="AB150" s="479">
        <f t="shared" si="175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337</v>
      </c>
      <c r="C151" s="467">
        <v>315849</v>
      </c>
      <c r="D151" s="466">
        <v>12</v>
      </c>
      <c r="E151" s="467">
        <f t="shared" si="160"/>
        <v>3790188</v>
      </c>
      <c r="F151" s="467"/>
      <c r="G151" s="468">
        <v>245615.04</v>
      </c>
      <c r="H151" s="470"/>
      <c r="I151" s="467">
        <f t="shared" si="161"/>
        <v>3544572.96</v>
      </c>
      <c r="J151" s="467">
        <v>200000</v>
      </c>
      <c r="K151" s="467">
        <v>0.2</v>
      </c>
      <c r="L151" s="467">
        <f t="shared" si="162"/>
        <v>708914.592</v>
      </c>
      <c r="M151" s="467">
        <f t="shared" si="163"/>
        <v>908914.592</v>
      </c>
      <c r="N151" s="467">
        <f t="shared" si="164"/>
        <v>1154529.632</v>
      </c>
      <c r="O151" s="467">
        <f t="shared" si="165"/>
        <v>2635658.368</v>
      </c>
      <c r="P151" s="467">
        <f t="shared" si="166"/>
        <v>21000</v>
      </c>
      <c r="Q151" s="467">
        <f t="shared" si="167"/>
        <v>33000</v>
      </c>
      <c r="R151" s="467">
        <f t="shared" si="168"/>
        <v>75000</v>
      </c>
      <c r="S151" s="467">
        <f t="shared" si="169"/>
        <v>95000</v>
      </c>
      <c r="T151" s="467">
        <f t="shared" si="170"/>
        <v>217488.25728</v>
      </c>
      <c r="U151" s="467"/>
      <c r="V151" s="467">
        <f t="shared" si="172"/>
        <v>441488.25728</v>
      </c>
      <c r="W151" s="474">
        <v>12</v>
      </c>
      <c r="X151" s="467">
        <f t="shared" si="173"/>
        <v>36790.6881066667</v>
      </c>
      <c r="Y151" s="470"/>
      <c r="Z151" s="467">
        <f t="shared" si="174"/>
        <v>36790.6881066667</v>
      </c>
      <c r="AA151" s="479">
        <v>21640.9528626667</v>
      </c>
      <c r="AB151" s="479">
        <f t="shared" si="175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345</v>
      </c>
      <c r="C152" s="467">
        <v>274459.75</v>
      </c>
      <c r="D152" s="466">
        <v>12</v>
      </c>
      <c r="E152" s="467">
        <f t="shared" si="160"/>
        <v>3293517</v>
      </c>
      <c r="F152" s="467">
        <v>0</v>
      </c>
      <c r="G152" s="468">
        <v>215481.36</v>
      </c>
      <c r="H152" s="470"/>
      <c r="I152" s="467">
        <f t="shared" si="161"/>
        <v>3078035.64</v>
      </c>
      <c r="J152" s="467">
        <v>200000</v>
      </c>
      <c r="K152" s="467">
        <v>0.2</v>
      </c>
      <c r="L152" s="467">
        <f t="shared" si="162"/>
        <v>615607.128</v>
      </c>
      <c r="M152" s="467">
        <f t="shared" si="163"/>
        <v>815607.128</v>
      </c>
      <c r="N152" s="467">
        <f t="shared" si="164"/>
        <v>1031088.488</v>
      </c>
      <c r="O152" s="467">
        <f t="shared" si="165"/>
        <v>2262428.512</v>
      </c>
      <c r="P152" s="467">
        <f t="shared" si="166"/>
        <v>21000</v>
      </c>
      <c r="Q152" s="467">
        <f t="shared" si="167"/>
        <v>33000</v>
      </c>
      <c r="R152" s="467">
        <f t="shared" si="168"/>
        <v>75000</v>
      </c>
      <c r="S152" s="467">
        <f t="shared" si="169"/>
        <v>95000</v>
      </c>
      <c r="T152" s="467">
        <f t="shared" si="170"/>
        <v>139109.98752</v>
      </c>
      <c r="U152" s="467"/>
      <c r="V152" s="467">
        <f t="shared" si="172"/>
        <v>363109.98752</v>
      </c>
      <c r="W152" s="474">
        <v>12</v>
      </c>
      <c r="X152" s="467">
        <f t="shared" si="173"/>
        <v>30259.1656266667</v>
      </c>
      <c r="Y152" s="470"/>
      <c r="Z152" s="467">
        <f t="shared" si="174"/>
        <v>30259.1656266667</v>
      </c>
      <c r="AA152" s="479">
        <v>17042.7138666667</v>
      </c>
      <c r="AB152" s="479">
        <f t="shared" si="175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347</v>
      </c>
      <c r="C153" s="467">
        <v>274459.75</v>
      </c>
      <c r="D153" s="466">
        <v>12</v>
      </c>
      <c r="E153" s="467">
        <f t="shared" si="160"/>
        <v>3293517</v>
      </c>
      <c r="F153" s="467">
        <v>0</v>
      </c>
      <c r="G153" s="468">
        <v>215481.36</v>
      </c>
      <c r="H153" s="470"/>
      <c r="I153" s="467">
        <f t="shared" si="161"/>
        <v>3078035.64</v>
      </c>
      <c r="J153" s="467">
        <v>200000</v>
      </c>
      <c r="K153" s="467">
        <v>0.2</v>
      </c>
      <c r="L153" s="467">
        <f t="shared" si="162"/>
        <v>615607.128</v>
      </c>
      <c r="M153" s="467">
        <f t="shared" si="163"/>
        <v>815607.128</v>
      </c>
      <c r="N153" s="467">
        <f t="shared" si="164"/>
        <v>1031088.488</v>
      </c>
      <c r="O153" s="467">
        <f t="shared" si="165"/>
        <v>2262428.512</v>
      </c>
      <c r="P153" s="467">
        <f t="shared" si="166"/>
        <v>21000</v>
      </c>
      <c r="Q153" s="467">
        <f t="shared" si="167"/>
        <v>33000</v>
      </c>
      <c r="R153" s="467">
        <f t="shared" si="168"/>
        <v>75000</v>
      </c>
      <c r="S153" s="467">
        <f t="shared" si="169"/>
        <v>95000</v>
      </c>
      <c r="T153" s="467">
        <f t="shared" si="170"/>
        <v>139109.98752</v>
      </c>
      <c r="U153" s="467"/>
      <c r="V153" s="467">
        <f t="shared" si="172"/>
        <v>363109.98752</v>
      </c>
      <c r="W153" s="474">
        <v>12</v>
      </c>
      <c r="X153" s="467">
        <f t="shared" si="173"/>
        <v>30259.1656266667</v>
      </c>
      <c r="Y153" s="470"/>
      <c r="Z153" s="467">
        <f t="shared" si="174"/>
        <v>30259.1656266667</v>
      </c>
      <c r="AA153" s="479">
        <v>17042.7138666667</v>
      </c>
      <c r="AB153" s="479">
        <f t="shared" si="175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349</v>
      </c>
      <c r="C154" s="467">
        <v>274459.75</v>
      </c>
      <c r="D154" s="466">
        <v>12</v>
      </c>
      <c r="E154" s="467">
        <f t="shared" si="160"/>
        <v>3293517</v>
      </c>
      <c r="F154" s="467">
        <v>0</v>
      </c>
      <c r="G154" s="468">
        <v>215481.36</v>
      </c>
      <c r="H154" s="470"/>
      <c r="I154" s="467">
        <f t="shared" si="161"/>
        <v>3078035.64</v>
      </c>
      <c r="J154" s="467">
        <v>200000</v>
      </c>
      <c r="K154" s="467">
        <v>0.2</v>
      </c>
      <c r="L154" s="467">
        <f t="shared" si="162"/>
        <v>615607.128</v>
      </c>
      <c r="M154" s="467">
        <f t="shared" si="163"/>
        <v>815607.128</v>
      </c>
      <c r="N154" s="467">
        <f t="shared" si="164"/>
        <v>1031088.488</v>
      </c>
      <c r="O154" s="467">
        <f t="shared" si="165"/>
        <v>2262428.512</v>
      </c>
      <c r="P154" s="467">
        <f t="shared" si="166"/>
        <v>21000</v>
      </c>
      <c r="Q154" s="467">
        <f t="shared" si="167"/>
        <v>33000</v>
      </c>
      <c r="R154" s="467">
        <f t="shared" si="168"/>
        <v>75000</v>
      </c>
      <c r="S154" s="467">
        <f t="shared" si="169"/>
        <v>95000</v>
      </c>
      <c r="T154" s="467">
        <f t="shared" si="170"/>
        <v>139109.98752</v>
      </c>
      <c r="U154" s="467"/>
      <c r="V154" s="467">
        <f t="shared" si="172"/>
        <v>363109.98752</v>
      </c>
      <c r="W154" s="474">
        <v>12</v>
      </c>
      <c r="X154" s="467">
        <f t="shared" si="173"/>
        <v>30259.1656266667</v>
      </c>
      <c r="Y154" s="470"/>
      <c r="Z154" s="467">
        <f t="shared" si="174"/>
        <v>30259.1656266667</v>
      </c>
      <c r="AA154" s="479">
        <v>17042.7138666667</v>
      </c>
      <c r="AB154" s="479">
        <f t="shared" si="175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351</v>
      </c>
      <c r="C155" s="467">
        <v>280631.916666667</v>
      </c>
      <c r="D155" s="466">
        <v>12</v>
      </c>
      <c r="E155" s="467">
        <f t="shared" si="160"/>
        <v>3367583</v>
      </c>
      <c r="F155" s="467">
        <v>0</v>
      </c>
      <c r="G155" s="468">
        <v>221406.64</v>
      </c>
      <c r="H155" s="470"/>
      <c r="I155" s="467">
        <f t="shared" si="161"/>
        <v>3146176.36</v>
      </c>
      <c r="J155" s="467">
        <v>200000</v>
      </c>
      <c r="K155" s="467">
        <v>0.2</v>
      </c>
      <c r="L155" s="467">
        <f t="shared" si="162"/>
        <v>629235.272000001</v>
      </c>
      <c r="M155" s="467">
        <f t="shared" si="163"/>
        <v>829235.272000001</v>
      </c>
      <c r="N155" s="467">
        <f t="shared" si="164"/>
        <v>1050641.912</v>
      </c>
      <c r="O155" s="467">
        <f t="shared" si="165"/>
        <v>2316941.088</v>
      </c>
      <c r="P155" s="467">
        <f t="shared" si="166"/>
        <v>21000</v>
      </c>
      <c r="Q155" s="467">
        <f t="shared" si="167"/>
        <v>33000</v>
      </c>
      <c r="R155" s="467">
        <f t="shared" si="168"/>
        <v>75000</v>
      </c>
      <c r="S155" s="467">
        <f t="shared" si="169"/>
        <v>95000</v>
      </c>
      <c r="T155" s="467">
        <f t="shared" si="170"/>
        <v>150557.628480001</v>
      </c>
      <c r="U155" s="467"/>
      <c r="V155" s="467">
        <f t="shared" si="172"/>
        <v>374557.628480001</v>
      </c>
      <c r="W155" s="474">
        <v>12</v>
      </c>
      <c r="X155" s="467">
        <f t="shared" si="173"/>
        <v>31213.1357066667</v>
      </c>
      <c r="Y155" s="470"/>
      <c r="Z155" s="467">
        <f t="shared" si="174"/>
        <v>31213.1357066667</v>
      </c>
      <c r="AA155" s="479">
        <v>17572.8850026667</v>
      </c>
      <c r="AB155" s="479">
        <f t="shared" si="175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352</v>
      </c>
      <c r="C156" s="467">
        <v>274459.75</v>
      </c>
      <c r="D156" s="466">
        <v>12</v>
      </c>
      <c r="E156" s="467">
        <f t="shared" si="160"/>
        <v>3293517</v>
      </c>
      <c r="F156" s="467">
        <v>0</v>
      </c>
      <c r="G156" s="468">
        <v>215481.36</v>
      </c>
      <c r="H156" s="470"/>
      <c r="I156" s="467">
        <f t="shared" si="161"/>
        <v>3078035.64</v>
      </c>
      <c r="J156" s="467">
        <v>200000</v>
      </c>
      <c r="K156" s="467">
        <v>0.2</v>
      </c>
      <c r="L156" s="467">
        <f t="shared" si="162"/>
        <v>615607.128</v>
      </c>
      <c r="M156" s="467">
        <f t="shared" si="163"/>
        <v>815607.128</v>
      </c>
      <c r="N156" s="467">
        <f t="shared" si="164"/>
        <v>1031088.488</v>
      </c>
      <c r="O156" s="467">
        <f t="shared" si="165"/>
        <v>2262428.512</v>
      </c>
      <c r="P156" s="467">
        <f t="shared" si="166"/>
        <v>21000</v>
      </c>
      <c r="Q156" s="467">
        <f t="shared" si="167"/>
        <v>33000</v>
      </c>
      <c r="R156" s="467">
        <f t="shared" si="168"/>
        <v>75000</v>
      </c>
      <c r="S156" s="467">
        <f t="shared" si="169"/>
        <v>95000</v>
      </c>
      <c r="T156" s="467">
        <f t="shared" si="170"/>
        <v>139109.98752</v>
      </c>
      <c r="U156" s="467"/>
      <c r="V156" s="467">
        <f t="shared" si="172"/>
        <v>363109.98752</v>
      </c>
      <c r="W156" s="474">
        <v>12</v>
      </c>
      <c r="X156" s="467">
        <f t="shared" si="173"/>
        <v>30259.1656266667</v>
      </c>
      <c r="Y156" s="470"/>
      <c r="Z156" s="467">
        <f t="shared" si="174"/>
        <v>30259.1656266667</v>
      </c>
      <c r="AA156" s="479">
        <v>17042.7138666667</v>
      </c>
      <c r="AB156" s="479">
        <f t="shared" si="175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361</v>
      </c>
      <c r="C157" s="467">
        <v>202598.166666667</v>
      </c>
      <c r="D157" s="466">
        <v>12</v>
      </c>
      <c r="E157" s="467">
        <f t="shared" si="160"/>
        <v>2431178</v>
      </c>
      <c r="F157" s="467">
        <f>263.19*12</f>
        <v>3158.28</v>
      </c>
      <c r="G157" s="468">
        <v>161854.24</v>
      </c>
      <c r="H157" s="470"/>
      <c r="I157" s="467">
        <f t="shared" si="161"/>
        <v>2266165.48</v>
      </c>
      <c r="J157" s="467">
        <v>200000</v>
      </c>
      <c r="K157" s="467">
        <v>0.2</v>
      </c>
      <c r="L157" s="467">
        <f t="shared" si="162"/>
        <v>453233.096000001</v>
      </c>
      <c r="M157" s="467">
        <f t="shared" si="163"/>
        <v>653233.096000001</v>
      </c>
      <c r="N157" s="467">
        <f t="shared" si="164"/>
        <v>818245.616000001</v>
      </c>
      <c r="O157" s="467">
        <f t="shared" si="165"/>
        <v>1612932.384</v>
      </c>
      <c r="P157" s="467">
        <f t="shared" si="166"/>
        <v>21000</v>
      </c>
      <c r="Q157" s="467">
        <f t="shared" si="167"/>
        <v>33000</v>
      </c>
      <c r="R157" s="467">
        <f t="shared" si="168"/>
        <v>75000</v>
      </c>
      <c r="S157" s="467">
        <f t="shared" si="169"/>
        <v>95000</v>
      </c>
      <c r="T157" s="467">
        <f t="shared" si="170"/>
        <v>2715.8006400007</v>
      </c>
      <c r="U157" s="467"/>
      <c r="V157" s="467">
        <f t="shared" si="172"/>
        <v>226715.800640001</v>
      </c>
      <c r="W157" s="474">
        <v>12</v>
      </c>
      <c r="X157" s="467">
        <f t="shared" si="173"/>
        <v>18892.9833866667</v>
      </c>
      <c r="Y157" s="470"/>
      <c r="Z157" s="467">
        <f t="shared" si="174"/>
        <v>18892.9833866667</v>
      </c>
      <c r="AA157" s="479">
        <v>10739.3048</v>
      </c>
      <c r="AB157" s="479">
        <f t="shared" si="175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364</v>
      </c>
      <c r="C158" s="467">
        <v>205598.166666667</v>
      </c>
      <c r="D158" s="466">
        <v>12</v>
      </c>
      <c r="E158" s="467">
        <f t="shared" si="160"/>
        <v>2467178</v>
      </c>
      <c r="F158" s="467"/>
      <c r="G158" s="468">
        <v>161854.24</v>
      </c>
      <c r="H158" s="470"/>
      <c r="I158" s="467">
        <f t="shared" si="161"/>
        <v>2305323.76</v>
      </c>
      <c r="J158" s="467">
        <v>200000</v>
      </c>
      <c r="K158" s="467">
        <v>0.2</v>
      </c>
      <c r="L158" s="467">
        <f t="shared" si="162"/>
        <v>461064.752000001</v>
      </c>
      <c r="M158" s="467">
        <f t="shared" si="163"/>
        <v>661064.752000001</v>
      </c>
      <c r="N158" s="467">
        <f t="shared" si="164"/>
        <v>822918.992000001</v>
      </c>
      <c r="O158" s="467">
        <f t="shared" si="165"/>
        <v>1644259.008</v>
      </c>
      <c r="P158" s="467">
        <f t="shared" si="166"/>
        <v>21000</v>
      </c>
      <c r="Q158" s="467">
        <f t="shared" si="167"/>
        <v>33000</v>
      </c>
      <c r="R158" s="467">
        <f t="shared" si="168"/>
        <v>75000</v>
      </c>
      <c r="S158" s="467">
        <f t="shared" si="169"/>
        <v>95000</v>
      </c>
      <c r="T158" s="467">
        <f t="shared" si="170"/>
        <v>9294.39168000067</v>
      </c>
      <c r="U158" s="467"/>
      <c r="V158" s="467">
        <f t="shared" si="172"/>
        <v>233294.391680001</v>
      </c>
      <c r="W158" s="474">
        <v>12</v>
      </c>
      <c r="X158" s="467">
        <f t="shared" si="173"/>
        <v>19441.1993066667</v>
      </c>
      <c r="Y158" s="470"/>
      <c r="Z158" s="467">
        <f t="shared" si="174"/>
        <v>19441.1993066667</v>
      </c>
      <c r="AA158" s="479">
        <v>11232.4576266667</v>
      </c>
      <c r="AB158" s="479">
        <f t="shared" si="175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570</v>
      </c>
      <c r="C159" s="467">
        <v>202598.166666667</v>
      </c>
      <c r="D159" s="466">
        <v>12</v>
      </c>
      <c r="E159" s="467">
        <f t="shared" si="160"/>
        <v>2431178</v>
      </c>
      <c r="F159" s="467"/>
      <c r="G159" s="468">
        <v>161854.24</v>
      </c>
      <c r="H159" s="470"/>
      <c r="I159" s="467">
        <f t="shared" si="161"/>
        <v>2269323.76</v>
      </c>
      <c r="J159" s="467">
        <v>200000</v>
      </c>
      <c r="K159" s="467">
        <v>0.2</v>
      </c>
      <c r="L159" s="467">
        <f t="shared" si="162"/>
        <v>453864.752000001</v>
      </c>
      <c r="M159" s="467">
        <f t="shared" si="163"/>
        <v>653864.752000001</v>
      </c>
      <c r="N159" s="467">
        <f t="shared" si="164"/>
        <v>815718.992000001</v>
      </c>
      <c r="O159" s="467">
        <f t="shared" si="165"/>
        <v>1615459.008</v>
      </c>
      <c r="P159" s="467">
        <f t="shared" si="166"/>
        <v>21000</v>
      </c>
      <c r="Q159" s="467">
        <f t="shared" si="167"/>
        <v>33000</v>
      </c>
      <c r="R159" s="467">
        <f t="shared" si="168"/>
        <v>75000</v>
      </c>
      <c r="S159" s="467">
        <f t="shared" si="169"/>
        <v>95000</v>
      </c>
      <c r="T159" s="467">
        <f t="shared" si="170"/>
        <v>3246.39168000067</v>
      </c>
      <c r="U159" s="467"/>
      <c r="V159" s="467">
        <f t="shared" si="172"/>
        <v>227246.391680001</v>
      </c>
      <c r="W159" s="474">
        <v>12</v>
      </c>
      <c r="X159" s="467">
        <f t="shared" si="173"/>
        <v>18937.1993066667</v>
      </c>
      <c r="Y159" s="470"/>
      <c r="Z159" s="467">
        <f t="shared" si="174"/>
        <v>18937.1993066667</v>
      </c>
      <c r="AA159" s="479">
        <v>10776.4576266667</v>
      </c>
      <c r="AB159" s="479">
        <f t="shared" si="175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365</v>
      </c>
      <c r="C160" s="467">
        <v>202598.166666667</v>
      </c>
      <c r="D160" s="466">
        <v>12</v>
      </c>
      <c r="E160" s="467">
        <f t="shared" si="160"/>
        <v>2431178</v>
      </c>
      <c r="F160" s="467">
        <f>263.19*12</f>
        <v>3158.28</v>
      </c>
      <c r="G160" s="468">
        <v>161854.24</v>
      </c>
      <c r="H160" s="470"/>
      <c r="I160" s="467">
        <f t="shared" si="161"/>
        <v>2266165.48</v>
      </c>
      <c r="J160" s="467">
        <v>200000</v>
      </c>
      <c r="K160" s="467">
        <v>0.2</v>
      </c>
      <c r="L160" s="467">
        <f t="shared" si="162"/>
        <v>453233.096000001</v>
      </c>
      <c r="M160" s="467">
        <f t="shared" si="163"/>
        <v>653233.096000001</v>
      </c>
      <c r="N160" s="467">
        <f t="shared" si="164"/>
        <v>818245.616000001</v>
      </c>
      <c r="O160" s="467">
        <f t="shared" si="165"/>
        <v>1612932.384</v>
      </c>
      <c r="P160" s="467">
        <f t="shared" si="166"/>
        <v>21000</v>
      </c>
      <c r="Q160" s="467">
        <f t="shared" si="167"/>
        <v>33000</v>
      </c>
      <c r="R160" s="467">
        <f t="shared" si="168"/>
        <v>75000</v>
      </c>
      <c r="S160" s="467">
        <f t="shared" si="169"/>
        <v>95000</v>
      </c>
      <c r="T160" s="467">
        <f t="shared" si="170"/>
        <v>2715.8006400007</v>
      </c>
      <c r="U160" s="467"/>
      <c r="V160" s="467">
        <f t="shared" si="172"/>
        <v>226715.800640001</v>
      </c>
      <c r="W160" s="474">
        <v>12</v>
      </c>
      <c r="X160" s="467">
        <f t="shared" si="173"/>
        <v>18892.9833866667</v>
      </c>
      <c r="Y160" s="470"/>
      <c r="Z160" s="467">
        <f t="shared" si="174"/>
        <v>18892.9833866667</v>
      </c>
      <c r="AA160" s="479">
        <v>10739.3048</v>
      </c>
      <c r="AB160" s="479">
        <f t="shared" si="175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366</v>
      </c>
      <c r="C161" s="467">
        <v>202598.166666667</v>
      </c>
      <c r="D161" s="466">
        <v>12</v>
      </c>
      <c r="E161" s="467">
        <f t="shared" si="160"/>
        <v>2431178</v>
      </c>
      <c r="F161" s="467"/>
      <c r="G161" s="468">
        <v>161854.24</v>
      </c>
      <c r="H161" s="470"/>
      <c r="I161" s="467">
        <f t="shared" si="161"/>
        <v>2269323.76</v>
      </c>
      <c r="J161" s="467">
        <v>200000</v>
      </c>
      <c r="K161" s="467">
        <v>0.2</v>
      </c>
      <c r="L161" s="467">
        <f t="shared" si="162"/>
        <v>453864.752000001</v>
      </c>
      <c r="M161" s="467">
        <f t="shared" si="163"/>
        <v>653864.752000001</v>
      </c>
      <c r="N161" s="467">
        <f t="shared" si="164"/>
        <v>815718.992000001</v>
      </c>
      <c r="O161" s="467">
        <f t="shared" si="165"/>
        <v>1615459.008</v>
      </c>
      <c r="P161" s="467">
        <f t="shared" si="166"/>
        <v>21000</v>
      </c>
      <c r="Q161" s="467">
        <f t="shared" si="167"/>
        <v>33000</v>
      </c>
      <c r="R161" s="467">
        <f t="shared" si="168"/>
        <v>75000</v>
      </c>
      <c r="S161" s="467">
        <f t="shared" si="169"/>
        <v>95000</v>
      </c>
      <c r="T161" s="467">
        <f t="shared" si="170"/>
        <v>3246.39168000067</v>
      </c>
      <c r="U161" s="467"/>
      <c r="V161" s="467">
        <f t="shared" si="172"/>
        <v>227246.391680001</v>
      </c>
      <c r="W161" s="474">
        <v>12</v>
      </c>
      <c r="X161" s="467">
        <f t="shared" si="173"/>
        <v>18937.1993066667</v>
      </c>
      <c r="Y161" s="470"/>
      <c r="Z161" s="467">
        <f t="shared" si="174"/>
        <v>18937.1993066667</v>
      </c>
      <c r="AA161" s="479">
        <v>10776.4576266667</v>
      </c>
      <c r="AB161" s="479">
        <f t="shared" si="175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367</v>
      </c>
      <c r="C162" s="467">
        <v>200336.833333333</v>
      </c>
      <c r="D162" s="466">
        <v>12</v>
      </c>
      <c r="E162" s="467">
        <f t="shared" si="160"/>
        <v>2404042</v>
      </c>
      <c r="F162" s="467"/>
      <c r="G162" s="468">
        <v>156803.36</v>
      </c>
      <c r="H162" s="470"/>
      <c r="I162" s="467">
        <f t="shared" si="161"/>
        <v>2247238.64</v>
      </c>
      <c r="J162" s="467">
        <v>200000</v>
      </c>
      <c r="K162" s="467">
        <v>0.2</v>
      </c>
      <c r="L162" s="467">
        <f t="shared" si="162"/>
        <v>449447.727999999</v>
      </c>
      <c r="M162" s="467">
        <f t="shared" si="163"/>
        <v>649447.727999999</v>
      </c>
      <c r="N162" s="467">
        <f t="shared" si="164"/>
        <v>806251.087999999</v>
      </c>
      <c r="O162" s="467">
        <f t="shared" si="165"/>
        <v>1597790.912</v>
      </c>
      <c r="P162" s="467">
        <f t="shared" si="166"/>
        <v>21000</v>
      </c>
      <c r="Q162" s="467">
        <f t="shared" si="167"/>
        <v>33000</v>
      </c>
      <c r="R162" s="467">
        <f t="shared" si="168"/>
        <v>75000</v>
      </c>
      <c r="S162" s="467">
        <f t="shared" si="169"/>
        <v>94580.2732799994</v>
      </c>
      <c r="T162" s="467">
        <f t="shared" si="170"/>
        <v>0</v>
      </c>
      <c r="U162" s="467"/>
      <c r="V162" s="467">
        <f t="shared" si="172"/>
        <v>223580.273279999</v>
      </c>
      <c r="W162" s="474">
        <v>12</v>
      </c>
      <c r="X162" s="467">
        <f t="shared" si="173"/>
        <v>18631.6894399999</v>
      </c>
      <c r="Y162" s="470"/>
      <c r="Z162" s="467">
        <f t="shared" si="174"/>
        <v>18631.6894399999</v>
      </c>
      <c r="AA162" s="479">
        <v>11232.4576266667</v>
      </c>
      <c r="AB162" s="479">
        <f t="shared" si="175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369</v>
      </c>
      <c r="C163" s="467">
        <v>197336.833333333</v>
      </c>
      <c r="D163" s="466">
        <v>12</v>
      </c>
      <c r="E163" s="467">
        <f t="shared" si="160"/>
        <v>2368042</v>
      </c>
      <c r="F163" s="467"/>
      <c r="G163" s="468">
        <v>156803.36</v>
      </c>
      <c r="H163" s="470"/>
      <c r="I163" s="467">
        <f t="shared" si="161"/>
        <v>2211238.64</v>
      </c>
      <c r="J163" s="467">
        <v>200000</v>
      </c>
      <c r="K163" s="467">
        <v>0.2</v>
      </c>
      <c r="L163" s="467">
        <f t="shared" si="162"/>
        <v>442247.727999999</v>
      </c>
      <c r="M163" s="467">
        <f t="shared" si="163"/>
        <v>642247.727999999</v>
      </c>
      <c r="N163" s="467">
        <f t="shared" si="164"/>
        <v>799051.087999999</v>
      </c>
      <c r="O163" s="467">
        <f t="shared" si="165"/>
        <v>1568990.912</v>
      </c>
      <c r="P163" s="467">
        <f t="shared" si="166"/>
        <v>21000</v>
      </c>
      <c r="Q163" s="467">
        <f t="shared" si="167"/>
        <v>33000</v>
      </c>
      <c r="R163" s="467">
        <f t="shared" si="168"/>
        <v>75000</v>
      </c>
      <c r="S163" s="467">
        <f t="shared" si="169"/>
        <v>89108.2732799994</v>
      </c>
      <c r="T163" s="467">
        <f t="shared" si="170"/>
        <v>0</v>
      </c>
      <c r="U163" s="467"/>
      <c r="V163" s="467">
        <f t="shared" si="172"/>
        <v>218108.273279999</v>
      </c>
      <c r="W163" s="474">
        <v>12</v>
      </c>
      <c r="X163" s="467">
        <f t="shared" si="173"/>
        <v>18175.6894399999</v>
      </c>
      <c r="Y163" s="470"/>
      <c r="Z163" s="467">
        <f t="shared" si="174"/>
        <v>18175.6894399999</v>
      </c>
      <c r="AA163" s="479">
        <v>10776.4576266667</v>
      </c>
      <c r="AB163" s="479">
        <f t="shared" si="175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370</v>
      </c>
      <c r="C164" s="467">
        <v>200336.833333333</v>
      </c>
      <c r="D164" s="466">
        <v>12</v>
      </c>
      <c r="E164" s="467">
        <f t="shared" si="160"/>
        <v>2404042</v>
      </c>
      <c r="F164" s="467"/>
      <c r="G164" s="468">
        <v>156803.36</v>
      </c>
      <c r="H164" s="470"/>
      <c r="I164" s="467">
        <f t="shared" si="161"/>
        <v>2247238.64</v>
      </c>
      <c r="J164" s="467">
        <v>200000</v>
      </c>
      <c r="K164" s="467">
        <v>0.2</v>
      </c>
      <c r="L164" s="467">
        <f t="shared" si="162"/>
        <v>449447.727999999</v>
      </c>
      <c r="M164" s="467">
        <f t="shared" si="163"/>
        <v>649447.727999999</v>
      </c>
      <c r="N164" s="467">
        <f t="shared" si="164"/>
        <v>806251.087999999</v>
      </c>
      <c r="O164" s="467">
        <f t="shared" si="165"/>
        <v>1597790.912</v>
      </c>
      <c r="P164" s="467">
        <f t="shared" si="166"/>
        <v>21000</v>
      </c>
      <c r="Q164" s="467">
        <f t="shared" si="167"/>
        <v>33000</v>
      </c>
      <c r="R164" s="467">
        <f t="shared" si="168"/>
        <v>75000</v>
      </c>
      <c r="S164" s="467">
        <f t="shared" si="169"/>
        <v>94580.2732799994</v>
      </c>
      <c r="T164" s="467">
        <f t="shared" si="170"/>
        <v>0</v>
      </c>
      <c r="U164" s="467"/>
      <c r="V164" s="467">
        <f t="shared" si="172"/>
        <v>223580.273279999</v>
      </c>
      <c r="W164" s="474">
        <v>12</v>
      </c>
      <c r="X164" s="467">
        <f t="shared" si="173"/>
        <v>18631.6894399999</v>
      </c>
      <c r="Y164" s="470"/>
      <c r="Z164" s="467">
        <f t="shared" si="174"/>
        <v>18631.6894399999</v>
      </c>
      <c r="AA164" s="479">
        <v>11232.4576266667</v>
      </c>
      <c r="AB164" s="479">
        <f t="shared" si="175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371</v>
      </c>
      <c r="C165" s="467">
        <v>197336.833333333</v>
      </c>
      <c r="D165" s="466">
        <v>12</v>
      </c>
      <c r="E165" s="467">
        <f t="shared" si="160"/>
        <v>2368042</v>
      </c>
      <c r="F165" s="467"/>
      <c r="G165" s="468">
        <v>156803.36</v>
      </c>
      <c r="H165" s="470"/>
      <c r="I165" s="467">
        <f t="shared" si="161"/>
        <v>2211238.64</v>
      </c>
      <c r="J165" s="467">
        <v>200000</v>
      </c>
      <c r="K165" s="467">
        <v>0.2</v>
      </c>
      <c r="L165" s="467">
        <f t="shared" si="162"/>
        <v>442247.727999999</v>
      </c>
      <c r="M165" s="467">
        <f t="shared" si="163"/>
        <v>642247.727999999</v>
      </c>
      <c r="N165" s="467">
        <f t="shared" si="164"/>
        <v>799051.087999999</v>
      </c>
      <c r="O165" s="467">
        <f t="shared" si="165"/>
        <v>1568990.912</v>
      </c>
      <c r="P165" s="467">
        <f t="shared" si="166"/>
        <v>21000</v>
      </c>
      <c r="Q165" s="467">
        <f t="shared" si="167"/>
        <v>33000</v>
      </c>
      <c r="R165" s="467">
        <f t="shared" si="168"/>
        <v>75000</v>
      </c>
      <c r="S165" s="467">
        <f t="shared" si="169"/>
        <v>89108.2732799994</v>
      </c>
      <c r="T165" s="467">
        <f t="shared" si="170"/>
        <v>0</v>
      </c>
      <c r="U165" s="467"/>
      <c r="V165" s="467">
        <f t="shared" si="172"/>
        <v>218108.273279999</v>
      </c>
      <c r="W165" s="474">
        <v>12</v>
      </c>
      <c r="X165" s="467">
        <f t="shared" si="173"/>
        <v>18175.6894399999</v>
      </c>
      <c r="Y165" s="470"/>
      <c r="Z165" s="467">
        <f t="shared" si="174"/>
        <v>18175.6894399999</v>
      </c>
      <c r="AA165" s="479">
        <v>10776.4576266667</v>
      </c>
      <c r="AB165" s="479">
        <f t="shared" si="175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372</v>
      </c>
      <c r="C166" s="467">
        <v>197336.833333333</v>
      </c>
      <c r="D166" s="466">
        <v>12</v>
      </c>
      <c r="E166" s="467">
        <f t="shared" si="160"/>
        <v>2368042</v>
      </c>
      <c r="F166" s="467"/>
      <c r="G166" s="468">
        <v>156803.36</v>
      </c>
      <c r="H166" s="470"/>
      <c r="I166" s="467">
        <f t="shared" si="161"/>
        <v>2211238.64</v>
      </c>
      <c r="J166" s="467">
        <v>200000</v>
      </c>
      <c r="K166" s="467">
        <v>0.2</v>
      </c>
      <c r="L166" s="467">
        <f t="shared" si="162"/>
        <v>442247.727999999</v>
      </c>
      <c r="M166" s="467">
        <f t="shared" si="163"/>
        <v>642247.727999999</v>
      </c>
      <c r="N166" s="467">
        <f t="shared" si="164"/>
        <v>799051.087999999</v>
      </c>
      <c r="O166" s="467">
        <f t="shared" si="165"/>
        <v>1568990.912</v>
      </c>
      <c r="P166" s="467">
        <f t="shared" si="166"/>
        <v>21000</v>
      </c>
      <c r="Q166" s="467">
        <f t="shared" si="167"/>
        <v>33000</v>
      </c>
      <c r="R166" s="467">
        <f t="shared" si="168"/>
        <v>75000</v>
      </c>
      <c r="S166" s="467">
        <f t="shared" si="169"/>
        <v>89108.2732799994</v>
      </c>
      <c r="T166" s="467">
        <f t="shared" si="170"/>
        <v>0</v>
      </c>
      <c r="U166" s="467"/>
      <c r="V166" s="467">
        <f t="shared" si="172"/>
        <v>218108.273279999</v>
      </c>
      <c r="W166" s="474">
        <v>12</v>
      </c>
      <c r="X166" s="467">
        <f t="shared" si="173"/>
        <v>18175.6894399999</v>
      </c>
      <c r="Y166" s="470"/>
      <c r="Z166" s="467">
        <f t="shared" si="174"/>
        <v>18175.6894399999</v>
      </c>
      <c r="AA166" s="479">
        <v>10776.4576266667</v>
      </c>
      <c r="AB166" s="479">
        <f t="shared" si="175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359</v>
      </c>
      <c r="C167" s="467">
        <v>200336.833333333</v>
      </c>
      <c r="D167" s="466">
        <v>12</v>
      </c>
      <c r="E167" s="467">
        <f t="shared" si="160"/>
        <v>2404042</v>
      </c>
      <c r="F167" s="467"/>
      <c r="G167" s="468">
        <v>156803.36</v>
      </c>
      <c r="H167" s="470"/>
      <c r="I167" s="467">
        <f t="shared" si="161"/>
        <v>2247238.64</v>
      </c>
      <c r="J167" s="467">
        <v>200000</v>
      </c>
      <c r="K167" s="467">
        <v>0.2</v>
      </c>
      <c r="L167" s="467">
        <f t="shared" si="162"/>
        <v>449447.727999999</v>
      </c>
      <c r="M167" s="467">
        <f t="shared" si="163"/>
        <v>649447.727999999</v>
      </c>
      <c r="N167" s="467">
        <f t="shared" si="164"/>
        <v>806251.087999999</v>
      </c>
      <c r="O167" s="467">
        <f t="shared" si="165"/>
        <v>1597790.912</v>
      </c>
      <c r="P167" s="467">
        <f t="shared" si="166"/>
        <v>21000</v>
      </c>
      <c r="Q167" s="467">
        <f t="shared" si="167"/>
        <v>33000</v>
      </c>
      <c r="R167" s="467">
        <f t="shared" si="168"/>
        <v>75000</v>
      </c>
      <c r="S167" s="467">
        <f t="shared" si="169"/>
        <v>94580.2732799994</v>
      </c>
      <c r="T167" s="467">
        <f t="shared" si="170"/>
        <v>0</v>
      </c>
      <c r="U167" s="467"/>
      <c r="V167" s="467">
        <f t="shared" si="172"/>
        <v>223580.273279999</v>
      </c>
      <c r="W167" s="474">
        <v>12</v>
      </c>
      <c r="X167" s="467">
        <f t="shared" si="173"/>
        <v>18631.6894399999</v>
      </c>
      <c r="Y167" s="470"/>
      <c r="Z167" s="467">
        <f t="shared" si="174"/>
        <v>18631.6894399999</v>
      </c>
      <c r="AA167" s="479">
        <v>11232.4576266667</v>
      </c>
      <c r="AB167" s="479">
        <f t="shared" si="175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373</v>
      </c>
      <c r="C168" s="467">
        <v>189814.166666667</v>
      </c>
      <c r="D168" s="466">
        <v>12</v>
      </c>
      <c r="E168" s="467">
        <f t="shared" si="160"/>
        <v>2277770</v>
      </c>
      <c r="F168" s="467"/>
      <c r="G168" s="468">
        <v>146701.6</v>
      </c>
      <c r="H168" s="470"/>
      <c r="I168" s="467">
        <f t="shared" si="161"/>
        <v>2131068.4</v>
      </c>
      <c r="J168" s="467">
        <v>200000</v>
      </c>
      <c r="K168" s="467">
        <v>0.2</v>
      </c>
      <c r="L168" s="467">
        <f t="shared" si="162"/>
        <v>426213.680000001</v>
      </c>
      <c r="M168" s="467">
        <f t="shared" si="163"/>
        <v>626213.680000001</v>
      </c>
      <c r="N168" s="467">
        <f t="shared" si="164"/>
        <v>772915.280000001</v>
      </c>
      <c r="O168" s="467">
        <f t="shared" si="165"/>
        <v>1504854.72</v>
      </c>
      <c r="P168" s="467">
        <f t="shared" si="166"/>
        <v>21000</v>
      </c>
      <c r="Q168" s="467">
        <f t="shared" si="167"/>
        <v>33000</v>
      </c>
      <c r="R168" s="467">
        <f t="shared" si="168"/>
        <v>75000</v>
      </c>
      <c r="S168" s="467">
        <f t="shared" si="169"/>
        <v>76922.3968000007</v>
      </c>
      <c r="T168" s="467">
        <f t="shared" si="170"/>
        <v>0</v>
      </c>
      <c r="U168" s="467"/>
      <c r="V168" s="467">
        <f t="shared" si="172"/>
        <v>205922.396800001</v>
      </c>
      <c r="W168" s="474">
        <v>12</v>
      </c>
      <c r="X168" s="467">
        <f t="shared" si="173"/>
        <v>17160.1997333334</v>
      </c>
      <c r="Y168" s="470"/>
      <c r="Z168" s="467">
        <f t="shared" si="174"/>
        <v>17160.1997333334</v>
      </c>
      <c r="AA168" s="479">
        <v>9152.59979</v>
      </c>
      <c r="AB168" s="479">
        <f t="shared" si="175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376</v>
      </c>
      <c r="C169" s="467">
        <v>189814.166666667</v>
      </c>
      <c r="D169" s="466">
        <v>12</v>
      </c>
      <c r="E169" s="467">
        <f t="shared" si="160"/>
        <v>2277770</v>
      </c>
      <c r="F169" s="467"/>
      <c r="G169" s="468">
        <v>146701.6</v>
      </c>
      <c r="H169" s="470"/>
      <c r="I169" s="467">
        <f t="shared" si="161"/>
        <v>2131068.4</v>
      </c>
      <c r="J169" s="467">
        <v>200000</v>
      </c>
      <c r="K169" s="467">
        <v>0.2</v>
      </c>
      <c r="L169" s="467">
        <f t="shared" si="162"/>
        <v>426213.680000001</v>
      </c>
      <c r="M169" s="467">
        <f t="shared" si="163"/>
        <v>626213.680000001</v>
      </c>
      <c r="N169" s="467">
        <f t="shared" si="164"/>
        <v>772915.280000001</v>
      </c>
      <c r="O169" s="467">
        <f t="shared" si="165"/>
        <v>1504854.72</v>
      </c>
      <c r="P169" s="467">
        <f t="shared" si="166"/>
        <v>21000</v>
      </c>
      <c r="Q169" s="467">
        <f t="shared" si="167"/>
        <v>33000</v>
      </c>
      <c r="R169" s="467">
        <f t="shared" si="168"/>
        <v>75000</v>
      </c>
      <c r="S169" s="467">
        <f t="shared" si="169"/>
        <v>76922.3968000007</v>
      </c>
      <c r="T169" s="467">
        <f t="shared" si="170"/>
        <v>0</v>
      </c>
      <c r="U169" s="467"/>
      <c r="V169" s="467">
        <f t="shared" si="172"/>
        <v>205922.396800001</v>
      </c>
      <c r="W169" s="474">
        <v>12</v>
      </c>
      <c r="X169" s="467">
        <f t="shared" si="173"/>
        <v>17160.1997333334</v>
      </c>
      <c r="Y169" s="470"/>
      <c r="Z169" s="467">
        <f t="shared" si="174"/>
        <v>17160.1997333334</v>
      </c>
      <c r="AA169" s="479">
        <v>9152.59979</v>
      </c>
      <c r="AB169" s="479">
        <f t="shared" si="175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377</v>
      </c>
      <c r="C170" s="467">
        <v>195075.5</v>
      </c>
      <c r="D170" s="466">
        <v>12</v>
      </c>
      <c r="E170" s="467">
        <f t="shared" si="160"/>
        <v>2340906</v>
      </c>
      <c r="F170" s="467"/>
      <c r="G170" s="468">
        <v>151752.48</v>
      </c>
      <c r="H170" s="470"/>
      <c r="I170" s="467">
        <f t="shared" si="161"/>
        <v>2189153.52</v>
      </c>
      <c r="J170" s="467">
        <v>200000</v>
      </c>
      <c r="K170" s="467">
        <v>0.2</v>
      </c>
      <c r="L170" s="467">
        <f t="shared" si="162"/>
        <v>437830.704</v>
      </c>
      <c r="M170" s="467">
        <f t="shared" si="163"/>
        <v>637830.704</v>
      </c>
      <c r="N170" s="467">
        <f t="shared" si="164"/>
        <v>789583.184</v>
      </c>
      <c r="O170" s="467">
        <f t="shared" si="165"/>
        <v>1551322.816</v>
      </c>
      <c r="P170" s="467">
        <f t="shared" si="166"/>
        <v>21000</v>
      </c>
      <c r="Q170" s="467">
        <f t="shared" si="167"/>
        <v>33000</v>
      </c>
      <c r="R170" s="467">
        <f t="shared" si="168"/>
        <v>75000</v>
      </c>
      <c r="S170" s="467">
        <f t="shared" si="169"/>
        <v>85751.33504</v>
      </c>
      <c r="T170" s="467">
        <f t="shared" si="170"/>
        <v>0</v>
      </c>
      <c r="U170" s="467"/>
      <c r="V170" s="467">
        <f t="shared" si="172"/>
        <v>214751.33504</v>
      </c>
      <c r="W170" s="474">
        <v>12</v>
      </c>
      <c r="X170" s="467">
        <f t="shared" si="173"/>
        <v>17895.9445866667</v>
      </c>
      <c r="Y170" s="470"/>
      <c r="Z170" s="467">
        <f t="shared" si="174"/>
        <v>17895.9445866667</v>
      </c>
      <c r="AA170" s="479">
        <v>9504.20414</v>
      </c>
      <c r="AB170" s="479">
        <f t="shared" si="175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379</v>
      </c>
      <c r="C171" s="467">
        <v>121145.75</v>
      </c>
      <c r="D171" s="466">
        <v>12</v>
      </c>
      <c r="E171" s="467">
        <f t="shared" si="160"/>
        <v>1453749</v>
      </c>
      <c r="F171" s="467"/>
      <c r="G171" s="468">
        <v>90379.92</v>
      </c>
      <c r="H171" s="470"/>
      <c r="I171" s="467">
        <f t="shared" si="161"/>
        <v>1363369.08</v>
      </c>
      <c r="J171" s="467">
        <v>200000</v>
      </c>
      <c r="K171" s="467">
        <v>0.2</v>
      </c>
      <c r="L171" s="467">
        <f t="shared" si="162"/>
        <v>272673.816</v>
      </c>
      <c r="M171" s="467">
        <f t="shared" si="163"/>
        <v>472673.816</v>
      </c>
      <c r="N171" s="467">
        <f t="shared" si="164"/>
        <v>563053.736</v>
      </c>
      <c r="O171" s="467">
        <f t="shared" si="165"/>
        <v>890695.264</v>
      </c>
      <c r="P171" s="467">
        <f t="shared" si="166"/>
        <v>21000</v>
      </c>
      <c r="Q171" s="467">
        <f t="shared" si="167"/>
        <v>33000</v>
      </c>
      <c r="R171" s="467">
        <f t="shared" si="168"/>
        <v>43604.2896</v>
      </c>
      <c r="S171" s="467">
        <f t="shared" si="169"/>
        <v>0</v>
      </c>
      <c r="T171" s="467">
        <f t="shared" si="170"/>
        <v>0</v>
      </c>
      <c r="U171" s="467"/>
      <c r="V171" s="467">
        <f t="shared" si="172"/>
        <v>97604.2896</v>
      </c>
      <c r="W171" s="474">
        <v>12</v>
      </c>
      <c r="X171" s="467">
        <f t="shared" si="173"/>
        <v>8133.6908</v>
      </c>
      <c r="Y171" s="470"/>
      <c r="Z171" s="467">
        <f t="shared" si="174"/>
        <v>8133.6908</v>
      </c>
      <c r="AA171" s="479">
        <v>4365.33075466667</v>
      </c>
      <c r="AB171" s="479">
        <f t="shared" si="175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382</v>
      </c>
      <c r="C172" s="467">
        <v>118598</v>
      </c>
      <c r="D172" s="466">
        <v>12</v>
      </c>
      <c r="E172" s="467">
        <f t="shared" si="160"/>
        <v>1423176</v>
      </c>
      <c r="F172" s="467"/>
      <c r="G172" s="468">
        <v>87934.08</v>
      </c>
      <c r="H172" s="470"/>
      <c r="I172" s="467">
        <f t="shared" si="161"/>
        <v>1335241.92</v>
      </c>
      <c r="J172" s="467">
        <v>200000</v>
      </c>
      <c r="K172" s="467">
        <v>0.2</v>
      </c>
      <c r="L172" s="467">
        <f t="shared" si="162"/>
        <v>267048.384</v>
      </c>
      <c r="M172" s="467">
        <f t="shared" si="163"/>
        <v>467048.384</v>
      </c>
      <c r="N172" s="467">
        <f t="shared" si="164"/>
        <v>554982.464</v>
      </c>
      <c r="O172" s="467">
        <f t="shared" si="165"/>
        <v>868193.536</v>
      </c>
      <c r="P172" s="467">
        <f t="shared" si="166"/>
        <v>21000</v>
      </c>
      <c r="Q172" s="467">
        <f t="shared" si="167"/>
        <v>33000</v>
      </c>
      <c r="R172" s="467">
        <f t="shared" si="168"/>
        <v>40229.0304</v>
      </c>
      <c r="S172" s="467">
        <f t="shared" si="169"/>
        <v>0</v>
      </c>
      <c r="T172" s="467">
        <f t="shared" si="170"/>
        <v>0</v>
      </c>
      <c r="U172" s="467"/>
      <c r="V172" s="467">
        <f t="shared" si="172"/>
        <v>94229.0304</v>
      </c>
      <c r="W172" s="474">
        <v>12</v>
      </c>
      <c r="X172" s="467">
        <f t="shared" si="173"/>
        <v>7852.4192</v>
      </c>
      <c r="Y172" s="470"/>
      <c r="Z172" s="467">
        <f t="shared" si="174"/>
        <v>7852.4192</v>
      </c>
      <c r="AA172" s="479">
        <v>4227.52372266667</v>
      </c>
      <c r="AB172" s="479">
        <f t="shared" si="175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383</v>
      </c>
      <c r="C173" s="467">
        <v>115598</v>
      </c>
      <c r="D173" s="466">
        <v>12</v>
      </c>
      <c r="E173" s="467">
        <f t="shared" si="160"/>
        <v>1387176</v>
      </c>
      <c r="F173" s="467"/>
      <c r="G173" s="468">
        <v>87934.08</v>
      </c>
      <c r="H173" s="470"/>
      <c r="I173" s="467">
        <f t="shared" si="161"/>
        <v>1299241.92</v>
      </c>
      <c r="J173" s="467">
        <v>200000</v>
      </c>
      <c r="K173" s="467">
        <v>0.2</v>
      </c>
      <c r="L173" s="467">
        <f t="shared" si="162"/>
        <v>259848.384</v>
      </c>
      <c r="M173" s="467">
        <f t="shared" si="163"/>
        <v>459848.384</v>
      </c>
      <c r="N173" s="467">
        <f t="shared" si="164"/>
        <v>547782.464</v>
      </c>
      <c r="O173" s="467">
        <f t="shared" si="165"/>
        <v>839393.536</v>
      </c>
      <c r="P173" s="467">
        <f t="shared" si="166"/>
        <v>21000</v>
      </c>
      <c r="Q173" s="467">
        <f t="shared" si="167"/>
        <v>33000</v>
      </c>
      <c r="R173" s="467">
        <f t="shared" si="168"/>
        <v>35909.0304</v>
      </c>
      <c r="S173" s="467">
        <f t="shared" si="169"/>
        <v>0</v>
      </c>
      <c r="T173" s="467">
        <f t="shared" si="170"/>
        <v>0</v>
      </c>
      <c r="U173" s="467"/>
      <c r="V173" s="467">
        <f t="shared" si="172"/>
        <v>89909.0304</v>
      </c>
      <c r="W173" s="474">
        <v>12</v>
      </c>
      <c r="X173" s="467">
        <f t="shared" si="173"/>
        <v>7492.4192</v>
      </c>
      <c r="Y173" s="470"/>
      <c r="Z173" s="467">
        <f t="shared" si="174"/>
        <v>7492.4192</v>
      </c>
      <c r="AA173" s="479">
        <v>3963.52372266667</v>
      </c>
      <c r="AB173" s="479">
        <f t="shared" si="175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384</v>
      </c>
      <c r="C174" s="467">
        <v>118598</v>
      </c>
      <c r="D174" s="466">
        <v>12</v>
      </c>
      <c r="E174" s="467">
        <f t="shared" si="160"/>
        <v>1423176</v>
      </c>
      <c r="F174" s="467"/>
      <c r="G174" s="468">
        <v>87934.08</v>
      </c>
      <c r="H174" s="470"/>
      <c r="I174" s="467">
        <f t="shared" si="161"/>
        <v>1335241.92</v>
      </c>
      <c r="J174" s="467">
        <v>200000</v>
      </c>
      <c r="K174" s="467">
        <v>0.2</v>
      </c>
      <c r="L174" s="467">
        <f t="shared" si="162"/>
        <v>267048.384</v>
      </c>
      <c r="M174" s="467">
        <f t="shared" si="163"/>
        <v>467048.384</v>
      </c>
      <c r="N174" s="467">
        <f t="shared" si="164"/>
        <v>554982.464</v>
      </c>
      <c r="O174" s="467">
        <f t="shared" si="165"/>
        <v>868193.536</v>
      </c>
      <c r="P174" s="467">
        <f t="shared" si="166"/>
        <v>21000</v>
      </c>
      <c r="Q174" s="467">
        <f t="shared" si="167"/>
        <v>33000</v>
      </c>
      <c r="R174" s="467">
        <f t="shared" si="168"/>
        <v>40229.0304</v>
      </c>
      <c r="S174" s="467">
        <f t="shared" si="169"/>
        <v>0</v>
      </c>
      <c r="T174" s="467">
        <f t="shared" si="170"/>
        <v>0</v>
      </c>
      <c r="U174" s="467"/>
      <c r="V174" s="467">
        <f t="shared" si="172"/>
        <v>94229.0304</v>
      </c>
      <c r="W174" s="474">
        <v>12</v>
      </c>
      <c r="X174" s="467">
        <f t="shared" si="173"/>
        <v>7852.4192</v>
      </c>
      <c r="Y174" s="470"/>
      <c r="Z174" s="467">
        <f t="shared" si="174"/>
        <v>7852.4192</v>
      </c>
      <c r="AA174" s="479">
        <v>4227.52372266667</v>
      </c>
      <c r="AB174" s="479">
        <f t="shared" si="175"/>
        <v>3624.89547733333</v>
      </c>
      <c r="AC174" s="479"/>
      <c r="AD174" s="479"/>
      <c r="AE174" s="479"/>
    </row>
    <row r="175" ht="18" spans="1:31">
      <c r="A175" s="475"/>
      <c r="B175" s="11" t="s">
        <v>385</v>
      </c>
      <c r="C175" s="483">
        <v>115598</v>
      </c>
      <c r="D175" s="466">
        <v>12</v>
      </c>
      <c r="E175" s="467">
        <f t="shared" si="160"/>
        <v>1387176</v>
      </c>
      <c r="F175" s="467"/>
      <c r="G175" s="468">
        <v>87934.08</v>
      </c>
      <c r="H175" s="470"/>
      <c r="I175" s="467">
        <f t="shared" si="161"/>
        <v>1299241.92</v>
      </c>
      <c r="J175" s="467">
        <v>200000</v>
      </c>
      <c r="K175" s="467">
        <v>0.2</v>
      </c>
      <c r="L175" s="467">
        <f t="shared" si="162"/>
        <v>259848.384</v>
      </c>
      <c r="M175" s="467">
        <f t="shared" si="163"/>
        <v>459848.384</v>
      </c>
      <c r="N175" s="467">
        <f t="shared" si="164"/>
        <v>547782.464</v>
      </c>
      <c r="O175" s="467">
        <f t="shared" si="165"/>
        <v>839393.536</v>
      </c>
      <c r="P175" s="467">
        <f t="shared" si="166"/>
        <v>21000</v>
      </c>
      <c r="Q175" s="467">
        <f t="shared" si="167"/>
        <v>33000</v>
      </c>
      <c r="R175" s="467">
        <f t="shared" si="168"/>
        <v>35909.0304</v>
      </c>
      <c r="S175" s="467">
        <f t="shared" si="169"/>
        <v>0</v>
      </c>
      <c r="T175" s="467">
        <f t="shared" si="170"/>
        <v>0</v>
      </c>
      <c r="U175" s="467"/>
      <c r="V175" s="467">
        <f t="shared" si="172"/>
        <v>89909.0304</v>
      </c>
      <c r="W175" s="474">
        <v>12</v>
      </c>
      <c r="X175" s="467">
        <f t="shared" si="173"/>
        <v>7492.4192</v>
      </c>
      <c r="Y175" s="470"/>
      <c r="Z175" s="467">
        <f t="shared" si="174"/>
        <v>7492.4192</v>
      </c>
      <c r="AA175" s="479">
        <v>3963.52372266667</v>
      </c>
      <c r="AB175" s="479">
        <f t="shared" si="175"/>
        <v>3528.89547733333</v>
      </c>
      <c r="AC175" s="479"/>
      <c r="AD175" s="479"/>
      <c r="AE175" s="479"/>
    </row>
    <row r="176" ht="18" spans="1:28">
      <c r="A176" s="475"/>
      <c r="B176" s="11" t="s">
        <v>386</v>
      </c>
      <c r="C176" s="483">
        <v>118598</v>
      </c>
      <c r="D176" s="466">
        <v>12</v>
      </c>
      <c r="E176" s="467">
        <f t="shared" si="160"/>
        <v>1423176</v>
      </c>
      <c r="F176" s="467"/>
      <c r="G176" s="468">
        <v>87934.08</v>
      </c>
      <c r="H176" s="470"/>
      <c r="I176" s="467">
        <f t="shared" si="161"/>
        <v>1335241.92</v>
      </c>
      <c r="J176" s="467">
        <v>200000</v>
      </c>
      <c r="K176" s="467">
        <v>0.2</v>
      </c>
      <c r="L176" s="467">
        <f t="shared" si="162"/>
        <v>267048.384</v>
      </c>
      <c r="M176" s="467">
        <f t="shared" si="163"/>
        <v>467048.384</v>
      </c>
      <c r="N176" s="467">
        <f t="shared" si="164"/>
        <v>554982.464</v>
      </c>
      <c r="O176" s="467">
        <f t="shared" si="165"/>
        <v>868193.536</v>
      </c>
      <c r="P176" s="467">
        <f t="shared" si="166"/>
        <v>21000</v>
      </c>
      <c r="Q176" s="467">
        <f t="shared" si="167"/>
        <v>33000</v>
      </c>
      <c r="R176" s="467">
        <f t="shared" si="168"/>
        <v>40229.0304</v>
      </c>
      <c r="S176" s="467">
        <f t="shared" si="169"/>
        <v>0</v>
      </c>
      <c r="T176" s="467">
        <f t="shared" si="170"/>
        <v>0</v>
      </c>
      <c r="U176" s="467"/>
      <c r="V176" s="467">
        <f t="shared" si="172"/>
        <v>94229.0304</v>
      </c>
      <c r="W176" s="474">
        <v>12</v>
      </c>
      <c r="X176" s="467">
        <f t="shared" si="173"/>
        <v>7852.4192</v>
      </c>
      <c r="Y176" s="470"/>
      <c r="Z176" s="467">
        <f t="shared" si="174"/>
        <v>7852.4192</v>
      </c>
      <c r="AA176" s="479">
        <v>4227.52372266667</v>
      </c>
      <c r="AB176" s="479">
        <f t="shared" si="175"/>
        <v>3624.89547733333</v>
      </c>
    </row>
    <row r="177" ht="18" spans="2:28">
      <c r="B177" s="18" t="s">
        <v>387</v>
      </c>
      <c r="C177" s="479">
        <v>115598</v>
      </c>
      <c r="D177" s="466">
        <v>12</v>
      </c>
      <c r="E177" s="467">
        <f t="shared" si="160"/>
        <v>1387176</v>
      </c>
      <c r="G177" s="468">
        <v>87934.08</v>
      </c>
      <c r="I177" s="467">
        <f t="shared" si="161"/>
        <v>1299241.92</v>
      </c>
      <c r="J177" s="467">
        <v>200000</v>
      </c>
      <c r="K177" s="467">
        <v>0.2</v>
      </c>
      <c r="L177" s="467">
        <f t="shared" si="162"/>
        <v>259848.384</v>
      </c>
      <c r="M177" s="467">
        <f t="shared" si="163"/>
        <v>459848.384</v>
      </c>
      <c r="N177" s="467">
        <f t="shared" si="164"/>
        <v>547782.464</v>
      </c>
      <c r="O177" s="467">
        <f t="shared" si="165"/>
        <v>839393.536</v>
      </c>
      <c r="P177" s="467">
        <f t="shared" si="166"/>
        <v>21000</v>
      </c>
      <c r="Q177" s="467">
        <f t="shared" si="167"/>
        <v>33000</v>
      </c>
      <c r="R177" s="467">
        <f t="shared" si="168"/>
        <v>35909.0304</v>
      </c>
      <c r="S177" s="467">
        <f t="shared" si="169"/>
        <v>0</v>
      </c>
      <c r="T177" s="467">
        <f t="shared" si="170"/>
        <v>0</v>
      </c>
      <c r="U177" s="467"/>
      <c r="V177" s="467">
        <f t="shared" si="172"/>
        <v>89909.0304</v>
      </c>
      <c r="W177" s="474">
        <v>12</v>
      </c>
      <c r="X177" s="467">
        <f t="shared" si="173"/>
        <v>7492.4192</v>
      </c>
      <c r="Z177" s="467">
        <f t="shared" si="174"/>
        <v>7492.4192</v>
      </c>
      <c r="AA177" s="479">
        <v>3963.52372266667</v>
      </c>
      <c r="AB177" s="479">
        <f t="shared" si="175"/>
        <v>3528.89547733333</v>
      </c>
    </row>
    <row r="178" ht="18" spans="2:28">
      <c r="B178" s="18" t="s">
        <v>389</v>
      </c>
      <c r="C178" s="479">
        <v>118598</v>
      </c>
      <c r="D178" s="466">
        <v>12</v>
      </c>
      <c r="E178" s="467">
        <f t="shared" si="160"/>
        <v>1423176</v>
      </c>
      <c r="G178" s="468">
        <v>87934.08</v>
      </c>
      <c r="I178" s="467">
        <f t="shared" si="161"/>
        <v>1335241.92</v>
      </c>
      <c r="J178" s="467">
        <v>200000</v>
      </c>
      <c r="K178" s="467">
        <v>0.2</v>
      </c>
      <c r="L178" s="467">
        <f t="shared" si="162"/>
        <v>267048.384</v>
      </c>
      <c r="M178" s="467">
        <f t="shared" si="163"/>
        <v>467048.384</v>
      </c>
      <c r="N178" s="467">
        <f t="shared" si="164"/>
        <v>554982.464</v>
      </c>
      <c r="O178" s="467">
        <f t="shared" si="165"/>
        <v>868193.536</v>
      </c>
      <c r="P178" s="467">
        <f t="shared" si="166"/>
        <v>21000</v>
      </c>
      <c r="Q178" s="467">
        <f t="shared" si="167"/>
        <v>33000</v>
      </c>
      <c r="R178" s="467">
        <f t="shared" si="168"/>
        <v>40229.0304</v>
      </c>
      <c r="S178" s="467">
        <f t="shared" si="169"/>
        <v>0</v>
      </c>
      <c r="T178" s="467">
        <f t="shared" si="170"/>
        <v>0</v>
      </c>
      <c r="U178" s="467"/>
      <c r="V178" s="467">
        <f t="shared" si="172"/>
        <v>94229.0304</v>
      </c>
      <c r="W178" s="474">
        <v>12</v>
      </c>
      <c r="X178" s="467">
        <f t="shared" si="173"/>
        <v>7852.4192</v>
      </c>
      <c r="Z178" s="467">
        <f t="shared" si="174"/>
        <v>7852.4192</v>
      </c>
      <c r="AA178" s="479">
        <v>4227.52372266667</v>
      </c>
      <c r="AB178" s="479">
        <f t="shared" si="175"/>
        <v>3624.89547733333</v>
      </c>
    </row>
    <row r="179" ht="18" spans="2:28">
      <c r="B179" s="11" t="s">
        <v>572</v>
      </c>
      <c r="C179" s="479">
        <v>118598</v>
      </c>
      <c r="D179" s="466">
        <v>12</v>
      </c>
      <c r="E179" s="467">
        <f t="shared" si="160"/>
        <v>1423176</v>
      </c>
      <c r="G179" s="468">
        <v>87934.08</v>
      </c>
      <c r="I179" s="467">
        <f t="shared" si="161"/>
        <v>1335241.92</v>
      </c>
      <c r="J179" s="467">
        <v>200000</v>
      </c>
      <c r="K179" s="467">
        <v>0.2</v>
      </c>
      <c r="L179" s="467">
        <f t="shared" si="162"/>
        <v>267048.384</v>
      </c>
      <c r="M179" s="467">
        <f t="shared" si="163"/>
        <v>467048.384</v>
      </c>
      <c r="N179" s="467">
        <f t="shared" si="164"/>
        <v>554982.464</v>
      </c>
      <c r="O179" s="467">
        <f t="shared" si="165"/>
        <v>868193.536</v>
      </c>
      <c r="P179" s="467">
        <f t="shared" si="166"/>
        <v>21000</v>
      </c>
      <c r="Q179" s="467">
        <f t="shared" si="167"/>
        <v>33000</v>
      </c>
      <c r="R179" s="467">
        <f t="shared" si="168"/>
        <v>40229.0304</v>
      </c>
      <c r="S179" s="467">
        <f t="shared" si="169"/>
        <v>0</v>
      </c>
      <c r="T179" s="467">
        <f t="shared" si="170"/>
        <v>0</v>
      </c>
      <c r="V179" s="467">
        <f t="shared" si="172"/>
        <v>94229.0304</v>
      </c>
      <c r="W179" s="474">
        <v>12</v>
      </c>
      <c r="X179" s="467">
        <f t="shared" si="173"/>
        <v>7852.4192</v>
      </c>
      <c r="Z179" s="467">
        <f t="shared" si="174"/>
        <v>7852.4192</v>
      </c>
      <c r="AA179" s="479">
        <v>4089.71669066667</v>
      </c>
      <c r="AB179" s="479">
        <f t="shared" si="175"/>
        <v>3762.70250933333</v>
      </c>
    </row>
    <row r="180" ht="18" spans="2:28">
      <c r="B180" s="11" t="s">
        <v>392</v>
      </c>
      <c r="C180" s="479">
        <v>118598</v>
      </c>
      <c r="D180" s="466">
        <v>12</v>
      </c>
      <c r="E180" s="467">
        <f t="shared" si="160"/>
        <v>1423176</v>
      </c>
      <c r="G180" s="468">
        <v>87934.08</v>
      </c>
      <c r="I180" s="467">
        <f t="shared" si="161"/>
        <v>1335241.92</v>
      </c>
      <c r="J180" s="467">
        <v>200000</v>
      </c>
      <c r="K180" s="467">
        <v>0.2</v>
      </c>
      <c r="L180" s="467">
        <f t="shared" si="162"/>
        <v>267048.384</v>
      </c>
      <c r="M180" s="467">
        <f t="shared" si="163"/>
        <v>467048.384</v>
      </c>
      <c r="N180" s="467">
        <f t="shared" si="164"/>
        <v>554982.464</v>
      </c>
      <c r="O180" s="467">
        <f t="shared" si="165"/>
        <v>868193.536</v>
      </c>
      <c r="P180" s="467">
        <f t="shared" si="166"/>
        <v>21000</v>
      </c>
      <c r="Q180" s="467">
        <f t="shared" si="167"/>
        <v>33000</v>
      </c>
      <c r="R180" s="467">
        <f t="shared" si="168"/>
        <v>40229.0304</v>
      </c>
      <c r="S180" s="467">
        <f t="shared" si="169"/>
        <v>0</v>
      </c>
      <c r="T180" s="467">
        <f t="shared" si="170"/>
        <v>0</v>
      </c>
      <c r="V180" s="467">
        <f t="shared" si="172"/>
        <v>94229.0304</v>
      </c>
      <c r="W180" s="474">
        <v>12</v>
      </c>
      <c r="X180" s="467">
        <f t="shared" si="173"/>
        <v>7852.4192</v>
      </c>
      <c r="Z180" s="467">
        <f t="shared" si="174"/>
        <v>7852.4192</v>
      </c>
      <c r="AA180" s="479">
        <v>4227.52372266667</v>
      </c>
      <c r="AB180" s="479">
        <f t="shared" si="175"/>
        <v>3624.89547733333</v>
      </c>
    </row>
    <row r="181" ht="18" spans="2:28">
      <c r="B181" s="18" t="s">
        <v>360</v>
      </c>
      <c r="C181" s="479">
        <v>116050.25</v>
      </c>
      <c r="D181" s="466">
        <v>12</v>
      </c>
      <c r="E181" s="467">
        <f t="shared" si="160"/>
        <v>1392603</v>
      </c>
      <c r="G181" s="468">
        <v>85488.24</v>
      </c>
      <c r="I181" s="467">
        <f t="shared" si="161"/>
        <v>1307114.76</v>
      </c>
      <c r="J181" s="467">
        <v>200000</v>
      </c>
      <c r="K181" s="467">
        <v>0.2</v>
      </c>
      <c r="L181" s="467">
        <f t="shared" si="162"/>
        <v>261422.952</v>
      </c>
      <c r="M181" s="467">
        <f t="shared" si="163"/>
        <v>461422.952</v>
      </c>
      <c r="N181" s="467">
        <f t="shared" si="164"/>
        <v>546911.192</v>
      </c>
      <c r="O181" s="467">
        <f t="shared" si="165"/>
        <v>845691.808</v>
      </c>
      <c r="P181" s="467">
        <f t="shared" si="166"/>
        <v>21000</v>
      </c>
      <c r="Q181" s="467">
        <f t="shared" si="167"/>
        <v>33000</v>
      </c>
      <c r="R181" s="467">
        <f t="shared" si="168"/>
        <v>36853.7712</v>
      </c>
      <c r="S181" s="467">
        <f t="shared" si="169"/>
        <v>0</v>
      </c>
      <c r="T181" s="467">
        <f t="shared" si="170"/>
        <v>0</v>
      </c>
      <c r="V181" s="467">
        <f t="shared" si="172"/>
        <v>90853.7712</v>
      </c>
      <c r="W181" s="474">
        <v>12</v>
      </c>
      <c r="X181" s="467">
        <f t="shared" si="173"/>
        <v>7571.1476</v>
      </c>
      <c r="Z181" s="467">
        <f t="shared" si="174"/>
        <v>7571.1476</v>
      </c>
      <c r="AA181" s="479">
        <v>4089.71669066667</v>
      </c>
      <c r="AB181" s="479">
        <f t="shared" si="175"/>
        <v>3481.43090933333</v>
      </c>
    </row>
    <row r="182" ht="18" spans="2:28">
      <c r="B182" s="18" t="s">
        <v>397</v>
      </c>
      <c r="C182" s="479">
        <v>105933</v>
      </c>
      <c r="D182" s="466">
        <v>12</v>
      </c>
      <c r="E182" s="467">
        <f t="shared" si="160"/>
        <v>1271196</v>
      </c>
      <c r="G182" s="468">
        <v>77689.84</v>
      </c>
      <c r="I182" s="467">
        <f t="shared" si="161"/>
        <v>1193506.16</v>
      </c>
      <c r="J182" s="467">
        <v>200000</v>
      </c>
      <c r="K182" s="467">
        <v>0.2</v>
      </c>
      <c r="L182" s="467">
        <f t="shared" si="162"/>
        <v>238701.232</v>
      </c>
      <c r="M182" s="467">
        <f t="shared" si="163"/>
        <v>438701.232</v>
      </c>
      <c r="N182" s="467">
        <f t="shared" si="164"/>
        <v>516391.072</v>
      </c>
      <c r="O182" s="467">
        <f t="shared" si="165"/>
        <v>754804.928</v>
      </c>
      <c r="P182" s="467">
        <f t="shared" si="166"/>
        <v>21000</v>
      </c>
      <c r="Q182" s="467">
        <f t="shared" si="167"/>
        <v>33000</v>
      </c>
      <c r="R182" s="467">
        <f t="shared" si="168"/>
        <v>23220.7392</v>
      </c>
      <c r="S182" s="467">
        <f t="shared" si="169"/>
        <v>0</v>
      </c>
      <c r="T182" s="467">
        <f t="shared" si="170"/>
        <v>0</v>
      </c>
      <c r="V182" s="467">
        <f t="shared" si="172"/>
        <v>77220.7392</v>
      </c>
      <c r="W182" s="474">
        <v>12</v>
      </c>
      <c r="X182" s="467">
        <f t="shared" si="173"/>
        <v>6435.0616</v>
      </c>
      <c r="Z182" s="467">
        <f t="shared" si="174"/>
        <v>6435.0616</v>
      </c>
      <c r="AA182" s="479">
        <v>3210.15440486667</v>
      </c>
      <c r="AB182" s="479">
        <f t="shared" si="175"/>
        <v>3224.90719513333</v>
      </c>
    </row>
    <row r="183" ht="18" spans="2:28">
      <c r="B183" s="18" t="s">
        <v>401</v>
      </c>
      <c r="C183" s="479">
        <v>95540.75</v>
      </c>
      <c r="D183" s="466">
        <v>12</v>
      </c>
      <c r="E183" s="467">
        <f t="shared" si="160"/>
        <v>1146489</v>
      </c>
      <c r="G183" s="468">
        <f t="shared" ref="G183:G185" si="177">6123.26*12</f>
        <v>73479.12</v>
      </c>
      <c r="I183" s="467">
        <f t="shared" si="161"/>
        <v>1073009.88</v>
      </c>
      <c r="J183" s="467">
        <v>200000</v>
      </c>
      <c r="K183" s="467">
        <v>0.2</v>
      </c>
      <c r="L183" s="467">
        <f t="shared" si="162"/>
        <v>214601.976</v>
      </c>
      <c r="M183" s="467">
        <f t="shared" si="163"/>
        <v>414601.976</v>
      </c>
      <c r="N183" s="467">
        <f t="shared" si="164"/>
        <v>488081.096</v>
      </c>
      <c r="O183" s="467">
        <f t="shared" si="165"/>
        <v>658407.904</v>
      </c>
      <c r="P183" s="467">
        <f t="shared" si="166"/>
        <v>21000</v>
      </c>
      <c r="Q183" s="467">
        <f t="shared" si="167"/>
        <v>33000</v>
      </c>
      <c r="R183" s="467">
        <f t="shared" si="168"/>
        <v>8761.1856</v>
      </c>
      <c r="S183" s="467">
        <f t="shared" si="169"/>
        <v>0</v>
      </c>
      <c r="T183" s="467">
        <f t="shared" si="170"/>
        <v>0</v>
      </c>
      <c r="V183" s="467">
        <f t="shared" si="172"/>
        <v>62761.1856</v>
      </c>
      <c r="W183" s="474">
        <v>12</v>
      </c>
      <c r="X183" s="467">
        <f t="shared" si="173"/>
        <v>5230.0988</v>
      </c>
      <c r="Z183" s="467">
        <f t="shared" si="174"/>
        <v>5230.0988</v>
      </c>
      <c r="AA183" s="479">
        <v>2708.91364066667</v>
      </c>
      <c r="AB183" s="479">
        <f t="shared" si="175"/>
        <v>2521.18515933333</v>
      </c>
    </row>
    <row r="184" ht="18" spans="2:28">
      <c r="B184" s="18" t="s">
        <v>404</v>
      </c>
      <c r="C184" s="479">
        <v>95540.75</v>
      </c>
      <c r="D184" s="466">
        <v>12</v>
      </c>
      <c r="E184" s="467">
        <f t="shared" si="160"/>
        <v>1146489</v>
      </c>
      <c r="G184" s="468">
        <f t="shared" si="177"/>
        <v>73479.12</v>
      </c>
      <c r="I184" s="467">
        <f t="shared" si="161"/>
        <v>1073009.88</v>
      </c>
      <c r="J184" s="467">
        <v>200000</v>
      </c>
      <c r="K184" s="467">
        <v>0.2</v>
      </c>
      <c r="L184" s="467">
        <f t="shared" si="162"/>
        <v>214601.976</v>
      </c>
      <c r="M184" s="467">
        <f t="shared" si="163"/>
        <v>414601.976</v>
      </c>
      <c r="N184" s="467">
        <f t="shared" si="164"/>
        <v>488081.096</v>
      </c>
      <c r="O184" s="467">
        <f t="shared" si="165"/>
        <v>658407.904</v>
      </c>
      <c r="P184" s="467">
        <f t="shared" si="166"/>
        <v>21000</v>
      </c>
      <c r="Q184" s="467">
        <f t="shared" si="167"/>
        <v>33000</v>
      </c>
      <c r="R184" s="467">
        <f t="shared" si="168"/>
        <v>8761.1856</v>
      </c>
      <c r="S184" s="467">
        <f t="shared" si="169"/>
        <v>0</v>
      </c>
      <c r="T184" s="467">
        <f t="shared" si="170"/>
        <v>0</v>
      </c>
      <c r="V184" s="467">
        <f t="shared" si="172"/>
        <v>62761.1856</v>
      </c>
      <c r="W184" s="474">
        <v>12</v>
      </c>
      <c r="X184" s="467">
        <f t="shared" si="173"/>
        <v>5230.0988</v>
      </c>
      <c r="Z184" s="467">
        <f t="shared" si="174"/>
        <v>5230.0988</v>
      </c>
      <c r="AA184" s="479">
        <v>2708.91364066667</v>
      </c>
      <c r="AB184" s="479">
        <f t="shared" si="175"/>
        <v>2521.18515933333</v>
      </c>
    </row>
    <row r="185" ht="18" spans="2:28">
      <c r="B185" s="18" t="s">
        <v>405</v>
      </c>
      <c r="C185" s="479">
        <v>80195.93</v>
      </c>
      <c r="D185" s="466">
        <v>12</v>
      </c>
      <c r="E185" s="467">
        <f t="shared" si="160"/>
        <v>962351.16</v>
      </c>
      <c r="G185" s="468">
        <f t="shared" si="177"/>
        <v>73479.12</v>
      </c>
      <c r="I185" s="467">
        <f t="shared" si="161"/>
        <v>888872.04</v>
      </c>
      <c r="J185" s="467">
        <v>200000</v>
      </c>
      <c r="K185" s="467">
        <v>0.2</v>
      </c>
      <c r="L185" s="467">
        <f t="shared" si="162"/>
        <v>177774.408</v>
      </c>
      <c r="M185" s="467">
        <f t="shared" si="163"/>
        <v>377774.408</v>
      </c>
      <c r="N185" s="467">
        <f t="shared" si="164"/>
        <v>451253.528</v>
      </c>
      <c r="O185" s="467">
        <f t="shared" si="165"/>
        <v>511097.632</v>
      </c>
      <c r="P185" s="467">
        <f t="shared" si="166"/>
        <v>21000</v>
      </c>
      <c r="Q185" s="467">
        <f t="shared" si="167"/>
        <v>23220.73952</v>
      </c>
      <c r="R185" s="467">
        <f t="shared" si="168"/>
        <v>0</v>
      </c>
      <c r="S185" s="467">
        <f t="shared" si="169"/>
        <v>0</v>
      </c>
      <c r="T185" s="467">
        <f t="shared" si="170"/>
        <v>0</v>
      </c>
      <c r="V185" s="467">
        <f t="shared" si="172"/>
        <v>44220.73952</v>
      </c>
      <c r="W185" s="474">
        <v>12</v>
      </c>
      <c r="X185" s="467">
        <f t="shared" si="173"/>
        <v>3685.06162666667</v>
      </c>
      <c r="Z185" s="467">
        <f t="shared" si="174"/>
        <v>3685.06162666667</v>
      </c>
      <c r="AA185" s="479">
        <v>2708.91364066667</v>
      </c>
      <c r="AB185" s="479">
        <f t="shared" si="175"/>
        <v>976.147985999996</v>
      </c>
    </row>
    <row r="186" ht="18" spans="2:28">
      <c r="B186" s="484" t="s">
        <v>406</v>
      </c>
      <c r="C186" s="479">
        <v>108502.5</v>
      </c>
      <c r="D186" s="485">
        <v>12</v>
      </c>
      <c r="E186" s="486">
        <f t="shared" si="160"/>
        <v>1302030</v>
      </c>
      <c r="G186" s="487">
        <f>6920.2*12</f>
        <v>83042.4</v>
      </c>
      <c r="I186" s="486">
        <f t="shared" si="161"/>
        <v>1218987.6</v>
      </c>
      <c r="J186" s="467">
        <v>200000</v>
      </c>
      <c r="K186" s="467">
        <v>0.2</v>
      </c>
      <c r="L186" s="467">
        <f t="shared" si="162"/>
        <v>243797.52</v>
      </c>
      <c r="M186" s="467">
        <f t="shared" si="163"/>
        <v>443797.52</v>
      </c>
      <c r="N186" s="467">
        <f t="shared" si="164"/>
        <v>526839.92</v>
      </c>
      <c r="O186" s="467">
        <f t="shared" si="165"/>
        <v>775190.08</v>
      </c>
      <c r="P186" s="467">
        <f t="shared" si="166"/>
        <v>21000</v>
      </c>
      <c r="Q186" s="467">
        <f t="shared" si="167"/>
        <v>33000</v>
      </c>
      <c r="R186" s="467">
        <f t="shared" si="168"/>
        <v>26278.512</v>
      </c>
      <c r="S186" s="467">
        <f t="shared" si="169"/>
        <v>0</v>
      </c>
      <c r="T186" s="467">
        <f t="shared" si="170"/>
        <v>0</v>
      </c>
      <c r="V186" s="467">
        <f t="shared" si="172"/>
        <v>80278.512</v>
      </c>
      <c r="W186" s="474">
        <v>12</v>
      </c>
      <c r="X186" s="467">
        <f t="shared" si="173"/>
        <v>6689.876</v>
      </c>
      <c r="Z186" s="467">
        <f t="shared" si="174"/>
        <v>6689.876</v>
      </c>
      <c r="AA186" s="479">
        <v>3511.79662266667</v>
      </c>
      <c r="AB186" s="479">
        <f t="shared" si="175"/>
        <v>3178.07937733333</v>
      </c>
    </row>
    <row r="187" ht="18" spans="2:28">
      <c r="B187" s="484" t="s">
        <v>409</v>
      </c>
      <c r="C187" s="488">
        <v>108502.5</v>
      </c>
      <c r="D187" s="485">
        <v>12</v>
      </c>
      <c r="E187" s="486">
        <f t="shared" si="160"/>
        <v>1302030</v>
      </c>
      <c r="F187" s="489"/>
      <c r="G187" s="487">
        <f>6920.2*12</f>
        <v>83042.4</v>
      </c>
      <c r="H187" s="489"/>
      <c r="I187" s="486">
        <f t="shared" si="161"/>
        <v>1218987.6</v>
      </c>
      <c r="J187" s="486">
        <v>200000</v>
      </c>
      <c r="K187" s="486">
        <v>0.2</v>
      </c>
      <c r="L187" s="486">
        <f t="shared" si="162"/>
        <v>243797.52</v>
      </c>
      <c r="M187" s="486">
        <f t="shared" si="163"/>
        <v>443797.52</v>
      </c>
      <c r="N187" s="486">
        <f t="shared" si="164"/>
        <v>526839.92</v>
      </c>
      <c r="O187" s="486">
        <f t="shared" si="165"/>
        <v>775190.08</v>
      </c>
      <c r="P187" s="486">
        <f t="shared" si="166"/>
        <v>21000</v>
      </c>
      <c r="Q187" s="486">
        <f t="shared" si="167"/>
        <v>33000</v>
      </c>
      <c r="R187" s="486">
        <f t="shared" si="168"/>
        <v>26278.512</v>
      </c>
      <c r="S187" s="486">
        <f t="shared" si="169"/>
        <v>0</v>
      </c>
      <c r="T187" s="486">
        <f t="shared" si="170"/>
        <v>0</v>
      </c>
      <c r="V187" s="486">
        <f t="shared" si="172"/>
        <v>80278.512</v>
      </c>
      <c r="W187" s="500">
        <v>12</v>
      </c>
      <c r="X187" s="486">
        <f t="shared" si="173"/>
        <v>6689.876</v>
      </c>
      <c r="Z187" s="486">
        <f t="shared" si="174"/>
        <v>6689.876</v>
      </c>
      <c r="AA187" s="479">
        <v>3511.79662266667</v>
      </c>
      <c r="AB187" s="479">
        <f t="shared" si="175"/>
        <v>3178.07937733333</v>
      </c>
    </row>
    <row r="188" ht="35.25" customHeight="1" spans="2:28">
      <c r="B188" s="8" t="s">
        <v>938</v>
      </c>
      <c r="C188" s="617">
        <f t="shared" ref="C188:G188" si="178">SUM(C6:C187)</f>
        <v>82001705.4378</v>
      </c>
      <c r="D188" s="618"/>
      <c r="E188" s="469"/>
      <c r="F188" s="619">
        <f t="shared" si="178"/>
        <v>812366.485</v>
      </c>
      <c r="G188" s="619">
        <f t="shared" si="178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9">SUM(V6:V187)</f>
        <v>141644333.019677</v>
      </c>
      <c r="W188" s="619"/>
      <c r="X188" s="619">
        <f t="shared" si="179"/>
        <v>11803694.4183064</v>
      </c>
      <c r="Y188" s="619"/>
      <c r="Z188" s="619">
        <f t="shared" si="179"/>
        <v>11803694.4183064</v>
      </c>
      <c r="AA188" s="620"/>
      <c r="AB188" s="620"/>
    </row>
    <row r="189" ht="26.25" customHeight="1" spans="2:28">
      <c r="B189" s="30" t="s">
        <v>939</v>
      </c>
      <c r="C189" s="617"/>
      <c r="D189" s="618"/>
      <c r="E189" s="618"/>
      <c r="F189" s="621">
        <f>F188/12</f>
        <v>67697.2070833333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11803694.4183064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opLeftCell="A5" workbookViewId="0">
      <selection activeCell="E13" sqref="E13"/>
    </sheetView>
  </sheetViews>
  <sheetFormatPr defaultColWidth="8.72727272727273" defaultRowHeight="12.5"/>
  <cols>
    <col min="1" max="1" width="11.9090909090909" customWidth="1"/>
    <col min="2" max="2" width="25.8181818181818" customWidth="1"/>
    <col min="5" max="5" width="15.8181818181818" customWidth="1"/>
    <col min="7" max="7" width="15.0909090909091"/>
    <col min="8" max="8" width="19.0909090909091" customWidth="1"/>
    <col min="9" max="9" width="18.9090909090909" customWidth="1"/>
    <col min="10" max="10" width="18.3636363636364" customWidth="1"/>
    <col min="11" max="11" width="19.9090909090909" customWidth="1"/>
  </cols>
  <sheetData>
    <row r="1" s="1" customFormat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s="1" customFormat="1" ht="33.75" customHeight="1" spans="1:11">
      <c r="A2" s="76" t="s">
        <v>940</v>
      </c>
      <c r="B2" s="77"/>
      <c r="C2" s="76"/>
      <c r="D2" s="76"/>
      <c r="E2" s="216"/>
      <c r="F2" s="216"/>
      <c r="G2" s="299"/>
      <c r="H2" s="299"/>
      <c r="I2" s="299"/>
      <c r="J2" s="78"/>
      <c r="K2" s="78"/>
    </row>
    <row r="3" s="1" customFormat="1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s="1" customFormat="1" ht="49.5" customHeight="1" spans="1:1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4" t="s">
        <v>15</v>
      </c>
    </row>
    <row r="5" s="1" customFormat="1" ht="17.25" customHeight="1" spans="3:11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</row>
    <row r="6" s="1" customFormat="1" ht="36" customHeight="1" spans="1:11">
      <c r="A6" s="10" t="s">
        <v>941</v>
      </c>
      <c r="B6" s="14" t="s">
        <v>301</v>
      </c>
      <c r="C6" s="4" t="s">
        <v>832</v>
      </c>
      <c r="D6" s="10" t="s">
        <v>28</v>
      </c>
      <c r="E6" s="85">
        <v>762373.166666667</v>
      </c>
      <c r="F6" s="85"/>
      <c r="G6" s="220"/>
      <c r="H6" s="220">
        <f>80000+10000</f>
        <v>90000</v>
      </c>
      <c r="I6" s="85">
        <f>150000+100000</f>
        <v>250000</v>
      </c>
      <c r="J6" s="509">
        <f>(E6+F6+G6+H6+I6)*(13/30)</f>
        <v>477695.038888889</v>
      </c>
      <c r="K6" s="85"/>
    </row>
    <row r="7" ht="36" spans="1:11">
      <c r="A7" s="10" t="s">
        <v>942</v>
      </c>
      <c r="B7" s="14" t="s">
        <v>301</v>
      </c>
      <c r="C7" s="4" t="s">
        <v>943</v>
      </c>
      <c r="D7" s="10" t="s">
        <v>508</v>
      </c>
      <c r="E7" s="85">
        <f>'[3]Annual &amp; Monthly'!$H$44</f>
        <v>1352042.66666667</v>
      </c>
      <c r="F7" s="85"/>
      <c r="G7" s="220"/>
      <c r="H7" s="220">
        <v>100000</v>
      </c>
      <c r="I7" s="85"/>
      <c r="J7" s="509">
        <f>(E7+F7+G7+H7+I7)*(17/30)</f>
        <v>822824.177777778</v>
      </c>
      <c r="K7" s="85"/>
    </row>
    <row r="8" ht="18" spans="1:11">
      <c r="A8" s="10" t="s">
        <v>120</v>
      </c>
      <c r="B8" s="14"/>
      <c r="C8" s="4"/>
      <c r="D8" s="10"/>
      <c r="E8" s="85"/>
      <c r="F8" s="85"/>
      <c r="G8" s="220"/>
      <c r="H8" s="220"/>
      <c r="I8" s="85"/>
      <c r="J8" s="509">
        <f>SUM(J6:J7)</f>
        <v>1300519.21666667</v>
      </c>
      <c r="K8" s="85">
        <f>216451.57</f>
        <v>216451.57</v>
      </c>
    </row>
    <row r="10" ht="36" spans="1:11">
      <c r="A10" s="10" t="s">
        <v>944</v>
      </c>
      <c r="B10" s="11" t="s">
        <v>203</v>
      </c>
      <c r="C10" s="4" t="s">
        <v>945</v>
      </c>
      <c r="D10" s="10" t="s">
        <v>506</v>
      </c>
      <c r="E10" s="676">
        <f>762373.17</f>
        <v>762373.17</v>
      </c>
      <c r="F10" s="85"/>
      <c r="G10" s="220">
        <v>180000</v>
      </c>
      <c r="H10" s="220"/>
      <c r="I10" s="85"/>
      <c r="J10" s="509">
        <f>SUM(E10:I10)</f>
        <v>942373.17</v>
      </c>
      <c r="K10" s="85"/>
    </row>
    <row r="12" s="1" customFormat="1" ht="20.1" customHeight="1" spans="1:11">
      <c r="A12" s="10" t="s">
        <v>946</v>
      </c>
      <c r="B12" s="14" t="s">
        <v>163</v>
      </c>
      <c r="C12" s="4" t="s">
        <v>142</v>
      </c>
      <c r="D12" s="10" t="s">
        <v>49</v>
      </c>
      <c r="E12" s="85">
        <v>601396.833333333</v>
      </c>
      <c r="F12" s="85"/>
      <c r="G12" s="220">
        <v>160000</v>
      </c>
      <c r="H12" s="220"/>
      <c r="I12" s="85">
        <v>0</v>
      </c>
      <c r="J12" s="509">
        <f>SUM(E12:I12)*(9/30)</f>
        <v>228419.05</v>
      </c>
      <c r="K12" s="85"/>
    </row>
    <row r="13" ht="54" spans="1:11">
      <c r="A13" s="10" t="s">
        <v>947</v>
      </c>
      <c r="B13" s="14" t="s">
        <v>163</v>
      </c>
      <c r="C13" s="4" t="s">
        <v>948</v>
      </c>
      <c r="D13" s="10" t="s">
        <v>35</v>
      </c>
      <c r="E13" s="85">
        <v>762373.166666667</v>
      </c>
      <c r="F13" s="85"/>
      <c r="G13" s="220">
        <v>180000</v>
      </c>
      <c r="H13" s="220"/>
      <c r="I13" s="85"/>
      <c r="J13" s="509">
        <f>SUM(E13:I13)*(21/30)</f>
        <v>659661.216666667</v>
      </c>
      <c r="K13" s="85"/>
    </row>
    <row r="14" ht="18" spans="1:11">
      <c r="A14" s="10">
        <v>3</v>
      </c>
      <c r="B14" s="14" t="s">
        <v>120</v>
      </c>
      <c r="C14" s="4"/>
      <c r="D14" s="10"/>
      <c r="E14" s="85"/>
      <c r="F14" s="85"/>
      <c r="G14" s="220"/>
      <c r="H14" s="220"/>
      <c r="I14" s="85"/>
      <c r="J14" s="509">
        <f>SUM(J12:J13)</f>
        <v>888080.266666667</v>
      </c>
      <c r="K14" s="85"/>
    </row>
  </sheetData>
  <mergeCells count="1">
    <mergeCell ref="A1:F1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workbookViewId="0">
      <selection activeCell="A1" sqref="A1:J5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 t="s">
        <v>578</v>
      </c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 t="s">
        <v>949</v>
      </c>
      <c r="B2" s="752"/>
      <c r="C2" s="752"/>
      <c r="D2" s="752"/>
      <c r="E2" s="752"/>
      <c r="F2" s="752"/>
      <c r="G2" s="752"/>
      <c r="H2" s="752"/>
      <c r="I2" s="752"/>
      <c r="J2" s="752"/>
    </row>
    <row r="3" ht="14.5" spans="1:10">
      <c r="A3" s="753"/>
      <c r="B3" s="753"/>
      <c r="C3" s="753"/>
      <c r="D3" s="753"/>
      <c r="E3" s="753"/>
      <c r="F3" s="753"/>
      <c r="G3" s="753"/>
      <c r="H3" s="753"/>
      <c r="I3" s="800"/>
      <c r="J3" s="800"/>
    </row>
    <row r="4" ht="56" spans="1:10">
      <c r="A4" s="754" t="s">
        <v>580</v>
      </c>
      <c r="B4" s="754" t="s">
        <v>581</v>
      </c>
      <c r="C4" s="754" t="s">
        <v>582</v>
      </c>
      <c r="D4" s="754" t="s">
        <v>583</v>
      </c>
      <c r="E4" s="754" t="s">
        <v>584</v>
      </c>
      <c r="F4" s="754" t="s">
        <v>585</v>
      </c>
      <c r="G4" s="754" t="s">
        <v>586</v>
      </c>
      <c r="H4" s="755" t="s">
        <v>587</v>
      </c>
      <c r="I4" s="801" t="s">
        <v>589</v>
      </c>
      <c r="J4" s="754" t="s">
        <v>590</v>
      </c>
    </row>
    <row r="5" ht="14" spans="1:10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  <c r="I5" s="756"/>
      <c r="J5" s="756" t="s">
        <v>20</v>
      </c>
    </row>
    <row r="6" ht="35.1" customHeight="1" spans="1:10">
      <c r="A6" s="757">
        <v>1</v>
      </c>
      <c r="B6" s="758" t="s">
        <v>913</v>
      </c>
      <c r="C6" s="759" t="s">
        <v>592</v>
      </c>
      <c r="D6" s="1090" t="s">
        <v>627</v>
      </c>
      <c r="E6" s="1091" t="s">
        <v>622</v>
      </c>
      <c r="F6" s="762">
        <f>511804.92</f>
        <v>511804.92</v>
      </c>
      <c r="G6" s="785">
        <f t="shared" ref="G6:G9" si="0">582118+80000</f>
        <v>662118</v>
      </c>
      <c r="H6" s="786">
        <f t="shared" ref="H6:H23" si="1">G6-F6</f>
        <v>150313.08</v>
      </c>
      <c r="I6" s="765">
        <v>1</v>
      </c>
      <c r="J6" s="768">
        <f t="shared" ref="J6:J23" si="2">H6*I6</f>
        <v>150313.08</v>
      </c>
    </row>
    <row r="7" ht="35.1" customHeight="1" spans="1:10">
      <c r="A7" s="757">
        <v>2</v>
      </c>
      <c r="B7" s="787" t="s">
        <v>914</v>
      </c>
      <c r="C7" s="765" t="s">
        <v>592</v>
      </c>
      <c r="D7" s="1091" t="s">
        <v>950</v>
      </c>
      <c r="E7" s="1091" t="s">
        <v>951</v>
      </c>
      <c r="F7" s="762">
        <v>610498</v>
      </c>
      <c r="G7" s="785">
        <f>582118+160000</f>
        <v>742118</v>
      </c>
      <c r="H7" s="786">
        <f t="shared" si="1"/>
        <v>131620</v>
      </c>
      <c r="I7" s="765">
        <v>4</v>
      </c>
      <c r="J7" s="768">
        <f t="shared" si="2"/>
        <v>526480</v>
      </c>
    </row>
    <row r="8" ht="35.1" customHeight="1" spans="1:10">
      <c r="A8" s="757">
        <v>3</v>
      </c>
      <c r="B8" s="758" t="s">
        <v>915</v>
      </c>
      <c r="C8" s="765" t="s">
        <v>592</v>
      </c>
      <c r="D8" s="1091" t="s">
        <v>952</v>
      </c>
      <c r="E8" s="1091" t="s">
        <v>951</v>
      </c>
      <c r="F8" s="762">
        <v>554373.75</v>
      </c>
      <c r="G8" s="785">
        <f t="shared" si="0"/>
        <v>662118</v>
      </c>
      <c r="H8" s="786">
        <f t="shared" si="1"/>
        <v>107744.25</v>
      </c>
      <c r="I8" s="765">
        <f>2.71</f>
        <v>2.71</v>
      </c>
      <c r="J8" s="768">
        <f t="shared" si="2"/>
        <v>291986.9175</v>
      </c>
    </row>
    <row r="9" ht="35.1" customHeight="1" spans="1:10">
      <c r="A9" s="757">
        <v>4</v>
      </c>
      <c r="B9" s="758" t="s">
        <v>916</v>
      </c>
      <c r="C9" s="765" t="s">
        <v>953</v>
      </c>
      <c r="D9" s="1091" t="s">
        <v>952</v>
      </c>
      <c r="E9" s="1091" t="s">
        <v>951</v>
      </c>
      <c r="F9" s="762">
        <v>554374.75</v>
      </c>
      <c r="G9" s="785">
        <f t="shared" si="0"/>
        <v>662118</v>
      </c>
      <c r="H9" s="786">
        <f t="shared" si="1"/>
        <v>107743.25</v>
      </c>
      <c r="I9" s="765">
        <f>2.71</f>
        <v>2.71</v>
      </c>
      <c r="J9" s="768">
        <f t="shared" si="2"/>
        <v>291984.2075</v>
      </c>
    </row>
    <row r="10" ht="35.1" customHeight="1" spans="1:11">
      <c r="A10" s="757">
        <v>5</v>
      </c>
      <c r="B10" s="758" t="s">
        <v>917</v>
      </c>
      <c r="C10" s="765" t="s">
        <v>953</v>
      </c>
      <c r="D10" s="1091" t="s">
        <v>954</v>
      </c>
      <c r="E10" s="1091" t="s">
        <v>955</v>
      </c>
      <c r="F10" s="762">
        <v>121145.75</v>
      </c>
      <c r="G10" s="788">
        <v>189814.166666667</v>
      </c>
      <c r="H10" s="786">
        <f t="shared" si="1"/>
        <v>68668.416666667</v>
      </c>
      <c r="I10" s="765">
        <v>0</v>
      </c>
      <c r="J10" s="768">
        <f t="shared" si="2"/>
        <v>0</v>
      </c>
      <c r="K10" s="802" t="s">
        <v>956</v>
      </c>
    </row>
    <row r="11" ht="35.1" customHeight="1" spans="1:10">
      <c r="A11" s="757">
        <v>6</v>
      </c>
      <c r="B11" s="789" t="s">
        <v>339</v>
      </c>
      <c r="C11" s="765" t="s">
        <v>953</v>
      </c>
      <c r="D11" s="760" t="s">
        <v>870</v>
      </c>
      <c r="E11" s="1091" t="s">
        <v>957</v>
      </c>
      <c r="F11" s="762">
        <v>120000</v>
      </c>
      <c r="G11" s="788">
        <f>255849+60000</f>
        <v>315849</v>
      </c>
      <c r="H11" s="786">
        <f t="shared" si="1"/>
        <v>195849</v>
      </c>
      <c r="I11" s="765">
        <v>8</v>
      </c>
      <c r="J11" s="768">
        <f t="shared" si="2"/>
        <v>1566792</v>
      </c>
    </row>
    <row r="12" ht="35.1" customHeight="1" spans="1:10">
      <c r="A12" s="757">
        <v>7</v>
      </c>
      <c r="B12" s="758" t="s">
        <v>918</v>
      </c>
      <c r="C12" s="765" t="s">
        <v>953</v>
      </c>
      <c r="D12" s="1091" t="s">
        <v>958</v>
      </c>
      <c r="E12" s="1091" t="s">
        <v>959</v>
      </c>
      <c r="F12" s="762">
        <v>368901.5</v>
      </c>
      <c r="G12" s="785">
        <v>413512.5</v>
      </c>
      <c r="H12" s="786">
        <f t="shared" si="1"/>
        <v>44611</v>
      </c>
      <c r="I12" s="765">
        <v>2.71</v>
      </c>
      <c r="J12" s="768">
        <f t="shared" si="2"/>
        <v>120895.81</v>
      </c>
    </row>
    <row r="13" ht="35.1" customHeight="1" spans="1:10">
      <c r="A13" s="757">
        <v>8</v>
      </c>
      <c r="B13" s="758" t="s">
        <v>919</v>
      </c>
      <c r="C13" s="765" t="s">
        <v>953</v>
      </c>
      <c r="D13" s="1091" t="s">
        <v>960</v>
      </c>
      <c r="E13" s="1091" t="s">
        <v>959</v>
      </c>
      <c r="F13" s="762">
        <v>376837.416666667</v>
      </c>
      <c r="G13" s="785">
        <v>413512.5</v>
      </c>
      <c r="H13" s="786">
        <f t="shared" si="1"/>
        <v>36675.083333333</v>
      </c>
      <c r="I13" s="765">
        <v>2.71</v>
      </c>
      <c r="J13" s="768">
        <f t="shared" si="2"/>
        <v>99389.4758333325</v>
      </c>
    </row>
    <row r="14" ht="35.1" customHeight="1" spans="1:10">
      <c r="A14" s="757">
        <v>9</v>
      </c>
      <c r="B14" s="790" t="s">
        <v>920</v>
      </c>
      <c r="C14" s="765" t="s">
        <v>953</v>
      </c>
      <c r="D14" s="1091" t="s">
        <v>961</v>
      </c>
      <c r="E14" s="1091" t="s">
        <v>633</v>
      </c>
      <c r="F14" s="762">
        <v>450086.5</v>
      </c>
      <c r="G14" s="785">
        <v>510248.916666667</v>
      </c>
      <c r="H14" s="786">
        <f t="shared" si="1"/>
        <v>60162.416666667</v>
      </c>
      <c r="I14" s="765">
        <v>8</v>
      </c>
      <c r="J14" s="768">
        <f t="shared" si="2"/>
        <v>481299.333333336</v>
      </c>
    </row>
    <row r="15" ht="35.1" customHeight="1" spans="1:10">
      <c r="A15" s="757">
        <v>10</v>
      </c>
      <c r="B15" s="758" t="s">
        <v>921</v>
      </c>
      <c r="C15" s="765" t="s">
        <v>953</v>
      </c>
      <c r="D15" s="1091" t="s">
        <v>961</v>
      </c>
      <c r="E15" s="1091" t="s">
        <v>633</v>
      </c>
      <c r="F15" s="791">
        <v>450086.5</v>
      </c>
      <c r="G15" s="792">
        <v>510248.916666667</v>
      </c>
      <c r="H15" s="786">
        <f t="shared" si="1"/>
        <v>60162.416666667</v>
      </c>
      <c r="I15" s="765">
        <v>2.71</v>
      </c>
      <c r="J15" s="768">
        <f t="shared" si="2"/>
        <v>163040.149166668</v>
      </c>
    </row>
    <row r="16" ht="35.1" customHeight="1" spans="1:10">
      <c r="A16" s="757">
        <v>11</v>
      </c>
      <c r="B16" s="758" t="s">
        <v>922</v>
      </c>
      <c r="C16" s="765" t="s">
        <v>962</v>
      </c>
      <c r="D16" s="1091" t="s">
        <v>950</v>
      </c>
      <c r="E16" s="1091" t="s">
        <v>951</v>
      </c>
      <c r="F16" s="762">
        <v>610498</v>
      </c>
      <c r="G16" s="785">
        <v>742118</v>
      </c>
      <c r="H16" s="786">
        <f t="shared" si="1"/>
        <v>131620</v>
      </c>
      <c r="I16" s="765">
        <v>3</v>
      </c>
      <c r="J16" s="768">
        <f t="shared" si="2"/>
        <v>394860</v>
      </c>
    </row>
    <row r="17" ht="35.1" customHeight="1" spans="1:10">
      <c r="A17" s="757">
        <v>12</v>
      </c>
      <c r="B17" s="758" t="s">
        <v>308</v>
      </c>
      <c r="C17" s="765" t="s">
        <v>962</v>
      </c>
      <c r="D17" s="1091" t="s">
        <v>952</v>
      </c>
      <c r="E17" s="1091" t="s">
        <v>951</v>
      </c>
      <c r="F17" s="762">
        <v>554373.75</v>
      </c>
      <c r="G17" s="785">
        <v>662118</v>
      </c>
      <c r="H17" s="786">
        <f t="shared" si="1"/>
        <v>107744.25</v>
      </c>
      <c r="I17" s="765">
        <v>3</v>
      </c>
      <c r="J17" s="768">
        <f t="shared" si="2"/>
        <v>323232.75</v>
      </c>
    </row>
    <row r="18" ht="35.1" customHeight="1" spans="1:10">
      <c r="A18" s="757">
        <v>13</v>
      </c>
      <c r="B18" s="758" t="s">
        <v>923</v>
      </c>
      <c r="C18" s="765" t="s">
        <v>962</v>
      </c>
      <c r="D18" s="1091" t="s">
        <v>961</v>
      </c>
      <c r="E18" s="1091" t="s">
        <v>633</v>
      </c>
      <c r="F18" s="762">
        <v>450086.5</v>
      </c>
      <c r="G18" s="785">
        <v>510248.916666667</v>
      </c>
      <c r="H18" s="786">
        <f t="shared" si="1"/>
        <v>60162.416666667</v>
      </c>
      <c r="I18" s="765">
        <v>3</v>
      </c>
      <c r="J18" s="768">
        <f t="shared" si="2"/>
        <v>180487.250000001</v>
      </c>
    </row>
    <row r="19" ht="35.1" customHeight="1" spans="1:10">
      <c r="A19" s="757">
        <v>14</v>
      </c>
      <c r="B19" s="789" t="s">
        <v>924</v>
      </c>
      <c r="C19" s="765" t="s">
        <v>963</v>
      </c>
      <c r="D19" s="1091" t="s">
        <v>964</v>
      </c>
      <c r="E19" s="1091" t="s">
        <v>965</v>
      </c>
      <c r="F19" s="762">
        <v>548915.916666667</v>
      </c>
      <c r="G19" s="785">
        <v>582746.5</v>
      </c>
      <c r="H19" s="786">
        <f t="shared" si="1"/>
        <v>33830.583333333</v>
      </c>
      <c r="I19" s="765">
        <v>20</v>
      </c>
      <c r="J19" s="768">
        <f t="shared" si="2"/>
        <v>676611.66666666</v>
      </c>
    </row>
    <row r="20" ht="35.1" customHeight="1" spans="1:10">
      <c r="A20" s="757">
        <v>15</v>
      </c>
      <c r="B20" s="789" t="s">
        <v>925</v>
      </c>
      <c r="C20" s="765" t="s">
        <v>963</v>
      </c>
      <c r="D20" s="1091" t="s">
        <v>958</v>
      </c>
      <c r="E20" s="1091" t="s">
        <v>959</v>
      </c>
      <c r="F20" s="762">
        <v>368901.5</v>
      </c>
      <c r="G20" s="785">
        <v>413512.5</v>
      </c>
      <c r="H20" s="786">
        <f t="shared" si="1"/>
        <v>44611</v>
      </c>
      <c r="I20" s="765">
        <v>9</v>
      </c>
      <c r="J20" s="768">
        <f t="shared" si="2"/>
        <v>401499</v>
      </c>
    </row>
    <row r="21" ht="35.1" customHeight="1" spans="1:10">
      <c r="A21" s="793">
        <v>16</v>
      </c>
      <c r="B21" s="789" t="s">
        <v>927</v>
      </c>
      <c r="C21" s="794" t="s">
        <v>644</v>
      </c>
      <c r="D21" s="1092" t="s">
        <v>958</v>
      </c>
      <c r="E21" s="1092" t="s">
        <v>959</v>
      </c>
      <c r="F21" s="796">
        <v>408901.5</v>
      </c>
      <c r="G21" s="797">
        <f>353512.5+110000</f>
        <v>463512.5</v>
      </c>
      <c r="H21" s="798">
        <f t="shared" si="1"/>
        <v>54611</v>
      </c>
      <c r="I21" s="794">
        <v>12</v>
      </c>
      <c r="J21" s="803">
        <f t="shared" si="2"/>
        <v>655332</v>
      </c>
    </row>
    <row r="22" ht="35.1" customHeight="1" spans="1:10">
      <c r="A22" s="757">
        <v>17</v>
      </c>
      <c r="B22" s="758" t="s">
        <v>928</v>
      </c>
      <c r="C22" s="765" t="s">
        <v>966</v>
      </c>
      <c r="D22" s="1091" t="s">
        <v>967</v>
      </c>
      <c r="E22" s="1091" t="s">
        <v>955</v>
      </c>
      <c r="F22" s="762">
        <v>102926.916666667</v>
      </c>
      <c r="G22" s="785">
        <v>189814.166666667</v>
      </c>
      <c r="H22" s="786">
        <f t="shared" si="1"/>
        <v>86887.25</v>
      </c>
      <c r="I22" s="765">
        <v>1</v>
      </c>
      <c r="J22" s="768">
        <f t="shared" si="2"/>
        <v>86887.25</v>
      </c>
    </row>
    <row r="23" ht="35.1" customHeight="1" spans="1:10">
      <c r="A23" s="757">
        <v>18</v>
      </c>
      <c r="B23" s="758" t="s">
        <v>190</v>
      </c>
      <c r="C23" s="765" t="s">
        <v>968</v>
      </c>
      <c r="D23" s="1091" t="s">
        <v>961</v>
      </c>
      <c r="E23" s="1091" t="s">
        <v>633</v>
      </c>
      <c r="F23" s="762">
        <v>450086.5</v>
      </c>
      <c r="G23" s="785">
        <v>510248.916666667</v>
      </c>
      <c r="H23" s="786">
        <f t="shared" si="1"/>
        <v>60162.416666667</v>
      </c>
      <c r="I23" s="764">
        <v>3</v>
      </c>
      <c r="J23" s="768">
        <f t="shared" si="2"/>
        <v>180487.250000001</v>
      </c>
    </row>
    <row r="24" ht="35.1" customHeight="1" spans="1:10">
      <c r="A24" s="757"/>
      <c r="B24" s="799" t="s">
        <v>120</v>
      </c>
      <c r="C24" s="765"/>
      <c r="D24" s="765"/>
      <c r="E24" s="765"/>
      <c r="F24" s="768"/>
      <c r="G24" s="768"/>
      <c r="H24" s="768"/>
      <c r="I24" s="757"/>
      <c r="J24" s="804">
        <f>SUM(J6:J23)</f>
        <v>6591578.14</v>
      </c>
    </row>
    <row r="29" spans="10:10">
      <c r="J29" s="805"/>
    </row>
    <row r="30" spans="10:10">
      <c r="J30" s="805"/>
    </row>
    <row r="32" spans="10:10">
      <c r="J32" s="411"/>
    </row>
    <row r="34" spans="10:10">
      <c r="J34" s="805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N132" workbookViewId="0">
      <selection activeCell="Z137" sqref="Z137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63" t="s">
        <v>616</v>
      </c>
      <c r="AA4" s="477"/>
      <c r="AB4" s="477" t="s">
        <v>808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 t="shared" ref="E6:E32" si="0">C6*D6</f>
        <v>23219834.004</v>
      </c>
      <c r="F6" s="467"/>
      <c r="G6" s="467"/>
      <c r="H6" s="467"/>
      <c r="I6" s="467">
        <f t="shared" ref="I6:I32" si="1">E6-F6-G6-H6</f>
        <v>23219834.004</v>
      </c>
      <c r="J6" s="467">
        <v>200000</v>
      </c>
      <c r="K6" s="467">
        <v>0.2</v>
      </c>
      <c r="L6" s="467">
        <f t="shared" ref="L6:L32" si="2">I6*K6</f>
        <v>4643966.8008</v>
      </c>
      <c r="M6" s="467">
        <f t="shared" ref="M6:M32" si="3">J6+L6</f>
        <v>4843966.8008</v>
      </c>
      <c r="N6" s="467">
        <f t="shared" ref="N6:N32" si="4">F6+G6+H6+M6</f>
        <v>4843966.8008</v>
      </c>
      <c r="O6" s="467">
        <f t="shared" ref="O6:O32" si="5">E6-N6</f>
        <v>18375867.2032</v>
      </c>
      <c r="P6" s="467">
        <f t="shared" ref="P6:P32" si="6">IF(O6&lt;300000,0.07*O6,21000)</f>
        <v>21000</v>
      </c>
      <c r="Q6" s="467">
        <f t="shared" ref="Q6:Q32" si="7">IF((O6-300000)&lt;0,0,IF((O6-300000)&lt;300000,0.11*(O6-300000),33000))</f>
        <v>33000</v>
      </c>
      <c r="R6" s="467">
        <f t="shared" ref="R6:R32" si="8">IF((O6-600000)&lt;0,0,IF((O6-600000)&lt;500000,0.15*(O6-600000),75000))</f>
        <v>75000</v>
      </c>
      <c r="S6" s="467">
        <f t="shared" ref="S6:S32" si="9">IF((O6-1100000)&lt;0,0,IF((O6-1100000)&lt;500000,0.19*(O6-1100000),95000))</f>
        <v>95000</v>
      </c>
      <c r="T6" s="467">
        <f t="shared" ref="T6:T32" si="10">IF((O6-1600000)&lt;0,0,IF((O6-1600000)&lt;1600000,0.21*(O6-1600000),336000))</f>
        <v>336000</v>
      </c>
      <c r="U6" s="467">
        <f t="shared" ref="U6:U23" si="11">24%*(O6-3200000)</f>
        <v>3642208.128768</v>
      </c>
      <c r="V6" s="467">
        <f t="shared" ref="V6:V32" si="12">P6+Q6+R6+S6+T6+U6</f>
        <v>4202208.128768</v>
      </c>
      <c r="W6" s="474">
        <v>12</v>
      </c>
      <c r="X6" s="467">
        <f t="shared" ref="X6:X32" si="13">V6/W6</f>
        <v>350184.010730667</v>
      </c>
      <c r="Y6" s="467"/>
      <c r="Z6" s="467">
        <f t="shared" ref="Z6:Z32" si="14">X6</f>
        <v>350184.010730667</v>
      </c>
      <c r="AA6" s="479">
        <v>201165.835946667</v>
      </c>
      <c r="AB6" s="479">
        <f t="shared" ref="AB6:AB32" si="15"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si="0"/>
        <v>11428478</v>
      </c>
      <c r="F7" s="467"/>
      <c r="G7" s="467">
        <v>731878.24</v>
      </c>
      <c r="H7" s="467"/>
      <c r="I7" s="467">
        <f t="shared" si="1"/>
        <v>10696599.76</v>
      </c>
      <c r="J7" s="467">
        <v>200000</v>
      </c>
      <c r="K7" s="467">
        <v>0.2</v>
      </c>
      <c r="L7" s="467">
        <f t="shared" si="2"/>
        <v>2139319.952</v>
      </c>
      <c r="M7" s="467">
        <f t="shared" si="3"/>
        <v>2339319.952</v>
      </c>
      <c r="N7" s="467">
        <f t="shared" si="4"/>
        <v>3071198.192</v>
      </c>
      <c r="O7" s="467">
        <f t="shared" si="5"/>
        <v>8357279.808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1237747.15392</v>
      </c>
      <c r="V7" s="467">
        <f t="shared" si="12"/>
        <v>1797747.15392</v>
      </c>
      <c r="W7" s="474">
        <v>12</v>
      </c>
      <c r="X7" s="467">
        <f t="shared" si="13"/>
        <v>149812.262826667</v>
      </c>
      <c r="Y7" s="467"/>
      <c r="Z7" s="467">
        <f t="shared" si="14"/>
        <v>149812.262826667</v>
      </c>
      <c r="AA7" s="479">
        <v>82627.9514186667</v>
      </c>
      <c r="AB7" s="479">
        <f t="shared" si="15"/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0"/>
        <v>13828478</v>
      </c>
      <c r="F8" s="467"/>
      <c r="G8" s="467">
        <v>0</v>
      </c>
      <c r="H8" s="467"/>
      <c r="I8" s="467">
        <f t="shared" si="1"/>
        <v>13828478</v>
      </c>
      <c r="J8" s="467">
        <v>200000</v>
      </c>
      <c r="K8" s="467">
        <v>0.2</v>
      </c>
      <c r="L8" s="467">
        <f t="shared" si="2"/>
        <v>2765695.60000001</v>
      </c>
      <c r="M8" s="467">
        <f t="shared" si="3"/>
        <v>2965695.60000001</v>
      </c>
      <c r="N8" s="467">
        <f t="shared" si="4"/>
        <v>2965695.60000001</v>
      </c>
      <c r="O8" s="467">
        <f t="shared" si="5"/>
        <v>10862782.4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1839067.77600001</v>
      </c>
      <c r="V8" s="467">
        <f t="shared" si="12"/>
        <v>2399067.77600001</v>
      </c>
      <c r="W8" s="474">
        <v>12</v>
      </c>
      <c r="X8" s="467">
        <f t="shared" si="13"/>
        <v>199922.314666667</v>
      </c>
      <c r="Y8" s="467"/>
      <c r="Z8" s="467">
        <f t="shared" si="14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0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1"/>
        <v>10563803.809</v>
      </c>
      <c r="J9" s="467">
        <v>200000</v>
      </c>
      <c r="K9" s="467">
        <v>0.2</v>
      </c>
      <c r="L9" s="467">
        <f t="shared" si="2"/>
        <v>2112760.7618</v>
      </c>
      <c r="M9" s="467">
        <f t="shared" si="3"/>
        <v>2312760.7618</v>
      </c>
      <c r="N9" s="467">
        <f t="shared" si="4"/>
        <v>3057434.9528</v>
      </c>
      <c r="O9" s="467">
        <f t="shared" si="5"/>
        <v>8251043.0472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1212250.331328</v>
      </c>
      <c r="V9" s="467">
        <f t="shared" si="12"/>
        <v>1772250.331328</v>
      </c>
      <c r="W9" s="474">
        <v>12</v>
      </c>
      <c r="X9" s="467">
        <f t="shared" si="13"/>
        <v>147687.527610667</v>
      </c>
      <c r="Y9" s="467"/>
      <c r="Z9" s="467">
        <f t="shared" si="14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615">
        <v>1300519.22</v>
      </c>
      <c r="D10" s="466">
        <v>12</v>
      </c>
      <c r="E10" s="467">
        <f t="shared" si="0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1"/>
        <v>14861556.449</v>
      </c>
      <c r="J10" s="467">
        <v>200000</v>
      </c>
      <c r="K10" s="467">
        <v>0.2</v>
      </c>
      <c r="L10" s="467">
        <f t="shared" si="2"/>
        <v>2972311.2898</v>
      </c>
      <c r="M10" s="467">
        <f t="shared" si="3"/>
        <v>3172311.2898</v>
      </c>
      <c r="N10" s="467">
        <f t="shared" si="4"/>
        <v>3916985.4808</v>
      </c>
      <c r="O10" s="467">
        <f t="shared" si="5"/>
        <v>11689245.1592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2037418.838208</v>
      </c>
      <c r="V10" s="467">
        <f t="shared" si="12"/>
        <v>2597418.838208</v>
      </c>
      <c r="W10" s="474">
        <v>12</v>
      </c>
      <c r="X10" s="467">
        <f t="shared" si="13"/>
        <v>216451.569850667</v>
      </c>
      <c r="Y10" s="467"/>
      <c r="Z10" s="467">
        <f t="shared" si="14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833</v>
      </c>
      <c r="C11" s="465">
        <f>952373.166666667+100000</f>
        <v>1052373.16666667</v>
      </c>
      <c r="D11" s="466">
        <v>12</v>
      </c>
      <c r="E11" s="467">
        <f t="shared" si="0"/>
        <v>12628478</v>
      </c>
      <c r="F11" s="467"/>
      <c r="G11" s="467">
        <v>0</v>
      </c>
      <c r="H11" s="467"/>
      <c r="I11" s="467">
        <f t="shared" si="1"/>
        <v>12628478</v>
      </c>
      <c r="J11" s="467">
        <v>200000</v>
      </c>
      <c r="K11" s="467">
        <v>0.2</v>
      </c>
      <c r="L11" s="467">
        <f t="shared" si="2"/>
        <v>2525695.60000001</v>
      </c>
      <c r="M11" s="467">
        <f t="shared" si="3"/>
        <v>2725695.60000001</v>
      </c>
      <c r="N11" s="467">
        <f t="shared" si="4"/>
        <v>2725695.60000001</v>
      </c>
      <c r="O11" s="467">
        <f t="shared" si="5"/>
        <v>9902782.40000003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1608667.77600001</v>
      </c>
      <c r="V11" s="467">
        <f t="shared" si="12"/>
        <v>2168667.77600001</v>
      </c>
      <c r="W11" s="474">
        <v>12</v>
      </c>
      <c r="X11" s="467">
        <f t="shared" si="13"/>
        <v>180722.314666667</v>
      </c>
      <c r="Y11" s="467"/>
      <c r="Z11" s="467">
        <f t="shared" si="14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856034</v>
      </c>
      <c r="D12" s="466">
        <v>12</v>
      </c>
      <c r="E12" s="467">
        <f t="shared" si="0"/>
        <v>10272408</v>
      </c>
      <c r="F12" s="467">
        <f>10293.3979166667*12</f>
        <v>123520.775</v>
      </c>
      <c r="G12" s="467">
        <f>59136.2866666667*12</f>
        <v>709635.44</v>
      </c>
      <c r="H12" s="467"/>
      <c r="I12" s="467">
        <f t="shared" si="1"/>
        <v>9439251.785</v>
      </c>
      <c r="J12" s="467">
        <v>200000</v>
      </c>
      <c r="K12" s="467">
        <v>0.2</v>
      </c>
      <c r="L12" s="467">
        <f t="shared" si="2"/>
        <v>1887850.357</v>
      </c>
      <c r="M12" s="467">
        <f t="shared" si="3"/>
        <v>2087850.357</v>
      </c>
      <c r="N12" s="467">
        <f t="shared" si="4"/>
        <v>2921006.572</v>
      </c>
      <c r="O12" s="467">
        <f t="shared" si="5"/>
        <v>7351401.428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996336.34272</v>
      </c>
      <c r="V12" s="467">
        <f t="shared" si="12"/>
        <v>1556336.34272</v>
      </c>
      <c r="W12" s="474">
        <v>12</v>
      </c>
      <c r="X12" s="467">
        <f t="shared" si="13"/>
        <v>129694.695226667</v>
      </c>
      <c r="Y12" s="467"/>
      <c r="Z12" s="467">
        <f t="shared" si="14"/>
        <v>129694.695226667</v>
      </c>
      <c r="AA12" s="479">
        <v>74036.1031466667</v>
      </c>
      <c r="AB12" s="479">
        <f t="shared" si="15"/>
        <v>55658.5920799999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0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1"/>
        <v>10737277.688</v>
      </c>
      <c r="J13" s="467">
        <v>200000</v>
      </c>
      <c r="K13" s="467">
        <v>0.2</v>
      </c>
      <c r="L13" s="467">
        <f t="shared" si="2"/>
        <v>2147455.5376</v>
      </c>
      <c r="M13" s="467">
        <f t="shared" si="3"/>
        <v>2347455.5376</v>
      </c>
      <c r="N13" s="467">
        <f t="shared" si="4"/>
        <v>2915594.8496</v>
      </c>
      <c r="O13" s="467">
        <f t="shared" si="5"/>
        <v>8389822.1504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 t="shared" si="11"/>
        <v>1245557.316096</v>
      </c>
      <c r="V13" s="467">
        <f t="shared" si="12"/>
        <v>1805557.316096</v>
      </c>
      <c r="W13" s="474">
        <v>12</v>
      </c>
      <c r="X13" s="467">
        <f t="shared" si="13"/>
        <v>150463.109674667</v>
      </c>
      <c r="Y13" s="467"/>
      <c r="Z13" s="467">
        <f t="shared" si="14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0"/>
        <v>6652485</v>
      </c>
      <c r="F14" s="467"/>
      <c r="G14" s="467">
        <v>464998.8</v>
      </c>
      <c r="H14" s="467"/>
      <c r="I14" s="467">
        <f t="shared" si="1"/>
        <v>6187486.2</v>
      </c>
      <c r="J14" s="467">
        <v>200000</v>
      </c>
      <c r="K14" s="467">
        <v>0.2</v>
      </c>
      <c r="L14" s="467">
        <f t="shared" si="2"/>
        <v>1237497.24</v>
      </c>
      <c r="M14" s="467">
        <f t="shared" si="3"/>
        <v>1437497.24</v>
      </c>
      <c r="N14" s="467">
        <f t="shared" si="4"/>
        <v>1902496.04</v>
      </c>
      <c r="O14" s="467">
        <f t="shared" si="5"/>
        <v>4749988.96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371997.3504</v>
      </c>
      <c r="V14" s="467">
        <f t="shared" si="12"/>
        <v>931997.3504</v>
      </c>
      <c r="W14" s="474">
        <v>12</v>
      </c>
      <c r="X14" s="467">
        <f t="shared" si="13"/>
        <v>77666.4458666667</v>
      </c>
      <c r="Y14" s="467"/>
      <c r="Z14" s="467">
        <f t="shared" si="14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0"/>
        <v>7925976</v>
      </c>
      <c r="F15" s="467"/>
      <c r="G15" s="468">
        <v>451678.08</v>
      </c>
      <c r="H15" s="467"/>
      <c r="I15" s="467">
        <f t="shared" si="1"/>
        <v>7474297.92</v>
      </c>
      <c r="J15" s="467">
        <v>200000</v>
      </c>
      <c r="K15" s="467">
        <v>0.2</v>
      </c>
      <c r="L15" s="467">
        <f t="shared" si="2"/>
        <v>1494859.584</v>
      </c>
      <c r="M15" s="467">
        <f t="shared" si="3"/>
        <v>1694859.584</v>
      </c>
      <c r="N15" s="467">
        <f t="shared" si="4"/>
        <v>2146537.664</v>
      </c>
      <c r="O15" s="467">
        <f t="shared" si="5"/>
        <v>5779438.336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619065.20064</v>
      </c>
      <c r="V15" s="467">
        <f t="shared" si="12"/>
        <v>1179065.20064</v>
      </c>
      <c r="W15" s="474">
        <v>12</v>
      </c>
      <c r="X15" s="467">
        <f t="shared" si="13"/>
        <v>98255.4333866667</v>
      </c>
      <c r="Y15" s="467"/>
      <c r="Z15" s="467">
        <f t="shared" si="14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0"/>
        <v>9992958</v>
      </c>
      <c r="F16" s="467"/>
      <c r="G16" s="467">
        <v>425036.64</v>
      </c>
      <c r="H16" s="467"/>
      <c r="I16" s="467">
        <f t="shared" si="1"/>
        <v>9567921.36</v>
      </c>
      <c r="J16" s="467">
        <v>200000</v>
      </c>
      <c r="K16" s="467">
        <v>0.2</v>
      </c>
      <c r="L16" s="467">
        <f t="shared" si="2"/>
        <v>1913584.272</v>
      </c>
      <c r="M16" s="467">
        <f t="shared" si="3"/>
        <v>2113584.272</v>
      </c>
      <c r="N16" s="467">
        <f t="shared" si="4"/>
        <v>2538620.912</v>
      </c>
      <c r="O16" s="467">
        <f t="shared" si="5"/>
        <v>7454337.088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336000</v>
      </c>
      <c r="U16" s="467">
        <f t="shared" si="11"/>
        <v>1021040.90112</v>
      </c>
      <c r="V16" s="467">
        <f t="shared" si="12"/>
        <v>1581040.90112</v>
      </c>
      <c r="W16" s="474">
        <v>12</v>
      </c>
      <c r="X16" s="467">
        <f t="shared" si="13"/>
        <v>131753.408426667</v>
      </c>
      <c r="Y16" s="467"/>
      <c r="Z16" s="467">
        <f t="shared" si="14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0"/>
        <v>6141659</v>
      </c>
      <c r="F17" s="467"/>
      <c r="G17" s="467">
        <v>424132.72</v>
      </c>
      <c r="H17" s="467"/>
      <c r="I17" s="467">
        <f t="shared" si="1"/>
        <v>5717526.28</v>
      </c>
      <c r="J17" s="467">
        <v>200000</v>
      </c>
      <c r="K17" s="467">
        <v>0.2</v>
      </c>
      <c r="L17" s="467">
        <f t="shared" si="2"/>
        <v>1143505.256</v>
      </c>
      <c r="M17" s="467">
        <f t="shared" si="3"/>
        <v>1343505.256</v>
      </c>
      <c r="N17" s="467">
        <f t="shared" si="4"/>
        <v>1767637.976</v>
      </c>
      <c r="O17" s="467">
        <f t="shared" si="5"/>
        <v>4374021.024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336000</v>
      </c>
      <c r="U17" s="467">
        <f t="shared" si="11"/>
        <v>281765.045760001</v>
      </c>
      <c r="V17" s="467">
        <f t="shared" si="12"/>
        <v>841765.045760001</v>
      </c>
      <c r="W17" s="474">
        <v>12</v>
      </c>
      <c r="X17" s="467">
        <f t="shared" si="13"/>
        <v>70147.0871466667</v>
      </c>
      <c r="Y17" s="467"/>
      <c r="Z17" s="467">
        <f t="shared" si="14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0"/>
        <v>6586991</v>
      </c>
      <c r="F18" s="467"/>
      <c r="G18" s="467">
        <v>411759.28</v>
      </c>
      <c r="H18" s="467"/>
      <c r="I18" s="467">
        <f t="shared" si="1"/>
        <v>6175231.72</v>
      </c>
      <c r="J18" s="467">
        <v>200000</v>
      </c>
      <c r="K18" s="467">
        <v>0.2</v>
      </c>
      <c r="L18" s="467">
        <f t="shared" si="2"/>
        <v>1235046.344</v>
      </c>
      <c r="M18" s="467">
        <f t="shared" si="3"/>
        <v>1435046.344</v>
      </c>
      <c r="N18" s="467">
        <f t="shared" si="4"/>
        <v>1846805.624</v>
      </c>
      <c r="O18" s="467">
        <f t="shared" si="5"/>
        <v>4740185.376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 t="shared" si="11"/>
        <v>369644.490240001</v>
      </c>
      <c r="V18" s="467">
        <f t="shared" si="12"/>
        <v>929644.490240001</v>
      </c>
      <c r="W18" s="474">
        <v>12</v>
      </c>
      <c r="X18" s="467">
        <f t="shared" si="13"/>
        <v>77470.3741866667</v>
      </c>
      <c r="Y18" s="467"/>
      <c r="Z18" s="467">
        <f t="shared" si="14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0"/>
        <v>8832323</v>
      </c>
      <c r="F19" s="467">
        <f>618.53*12</f>
        <v>7422.36</v>
      </c>
      <c r="G19" s="467">
        <v>399385.84</v>
      </c>
      <c r="H19" s="467"/>
      <c r="I19" s="467">
        <f t="shared" si="1"/>
        <v>8425514.8</v>
      </c>
      <c r="J19" s="467">
        <v>200000</v>
      </c>
      <c r="K19" s="467">
        <v>0.2</v>
      </c>
      <c r="L19" s="467">
        <f t="shared" si="2"/>
        <v>1685102.96</v>
      </c>
      <c r="M19" s="467">
        <f t="shared" si="3"/>
        <v>1885102.96</v>
      </c>
      <c r="N19" s="467">
        <f t="shared" si="4"/>
        <v>2291911.16</v>
      </c>
      <c r="O19" s="467">
        <f t="shared" si="5"/>
        <v>6540411.84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 t="shared" si="11"/>
        <v>801698.841600001</v>
      </c>
      <c r="V19" s="467">
        <f t="shared" si="12"/>
        <v>1361698.8416</v>
      </c>
      <c r="W19" s="474">
        <v>12</v>
      </c>
      <c r="X19" s="467">
        <f t="shared" si="13"/>
        <v>113474.903466667</v>
      </c>
      <c r="Y19" s="467"/>
      <c r="Z19" s="467">
        <f t="shared" si="14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64</v>
      </c>
      <c r="C20" s="465">
        <v>537895.166666667</v>
      </c>
      <c r="D20" s="466">
        <v>12</v>
      </c>
      <c r="E20" s="467">
        <f t="shared" si="0"/>
        <v>6454742</v>
      </c>
      <c r="F20" s="467"/>
      <c r="G20" s="467">
        <v>362779.36</v>
      </c>
      <c r="H20" s="467"/>
      <c r="I20" s="467">
        <f t="shared" si="1"/>
        <v>6091962.64</v>
      </c>
      <c r="J20" s="467">
        <v>200000</v>
      </c>
      <c r="K20" s="467">
        <v>0.2</v>
      </c>
      <c r="L20" s="467">
        <f t="shared" si="2"/>
        <v>1218392.528</v>
      </c>
      <c r="M20" s="467">
        <f t="shared" si="3"/>
        <v>1418392.528</v>
      </c>
      <c r="N20" s="467">
        <f t="shared" si="4"/>
        <v>1781171.888</v>
      </c>
      <c r="O20" s="467">
        <f t="shared" si="5"/>
        <v>4673570.112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 t="shared" si="11"/>
        <v>353656.826880001</v>
      </c>
      <c r="V20" s="467">
        <f t="shared" si="12"/>
        <v>913656.826880001</v>
      </c>
      <c r="W20" s="474">
        <v>12</v>
      </c>
      <c r="X20" s="467">
        <f t="shared" si="13"/>
        <v>76138.0689066667</v>
      </c>
      <c r="Y20" s="467"/>
      <c r="Z20" s="467">
        <f t="shared" si="14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67</v>
      </c>
      <c r="C21" s="465">
        <f>553512.5+100000</f>
        <v>653512.5</v>
      </c>
      <c r="D21" s="466">
        <v>12</v>
      </c>
      <c r="E21" s="467">
        <f t="shared" si="0"/>
        <v>7842150</v>
      </c>
      <c r="F21" s="467"/>
      <c r="G21" s="467">
        <v>339372</v>
      </c>
      <c r="H21" s="467"/>
      <c r="I21" s="467">
        <f t="shared" si="1"/>
        <v>7502778</v>
      </c>
      <c r="J21" s="467">
        <v>200000</v>
      </c>
      <c r="K21" s="467">
        <v>0.2</v>
      </c>
      <c r="L21" s="467">
        <f t="shared" si="2"/>
        <v>1500555.6</v>
      </c>
      <c r="M21" s="467">
        <f t="shared" si="3"/>
        <v>1700555.6</v>
      </c>
      <c r="N21" s="467">
        <f t="shared" si="4"/>
        <v>2039927.6</v>
      </c>
      <c r="O21" s="467">
        <f t="shared" si="5"/>
        <v>5802222.4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 t="shared" si="11"/>
        <v>624533.376</v>
      </c>
      <c r="V21" s="467">
        <f t="shared" si="12"/>
        <v>1184533.376</v>
      </c>
      <c r="W21" s="474">
        <v>12</v>
      </c>
      <c r="X21" s="467">
        <f t="shared" si="13"/>
        <v>98711.1146666667</v>
      </c>
      <c r="Y21" s="467"/>
      <c r="Z21" s="467">
        <f t="shared" si="14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70</v>
      </c>
      <c r="C22" s="465">
        <v>463512.5</v>
      </c>
      <c r="D22" s="466">
        <v>12</v>
      </c>
      <c r="E22" s="467">
        <f t="shared" si="0"/>
        <v>5562150</v>
      </c>
      <c r="F22" s="467"/>
      <c r="G22" s="467">
        <v>339372</v>
      </c>
      <c r="H22" s="467"/>
      <c r="I22" s="467">
        <f t="shared" si="1"/>
        <v>5222778</v>
      </c>
      <c r="J22" s="467">
        <v>200000</v>
      </c>
      <c r="K22" s="467">
        <v>0.2</v>
      </c>
      <c r="L22" s="467">
        <f t="shared" si="2"/>
        <v>1044555.6</v>
      </c>
      <c r="M22" s="467">
        <f t="shared" si="3"/>
        <v>1244555.6</v>
      </c>
      <c r="N22" s="467">
        <f t="shared" si="4"/>
        <v>1583927.6</v>
      </c>
      <c r="O22" s="467">
        <f t="shared" si="5"/>
        <v>3978222.4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336000</v>
      </c>
      <c r="U22" s="467">
        <f t="shared" si="11"/>
        <v>186773.376</v>
      </c>
      <c r="V22" s="467">
        <f t="shared" si="12"/>
        <v>746773.376</v>
      </c>
      <c r="W22" s="474">
        <v>12</v>
      </c>
      <c r="X22" s="467">
        <f t="shared" si="13"/>
        <v>62231.1146666667</v>
      </c>
      <c r="Y22" s="467"/>
      <c r="Z22" s="467">
        <f t="shared" si="14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72</v>
      </c>
      <c r="C23" s="465">
        <f>453029.666666667+100000</f>
        <v>553029.666666667</v>
      </c>
      <c r="D23" s="466">
        <v>12</v>
      </c>
      <c r="E23" s="467">
        <f t="shared" si="0"/>
        <v>6636356</v>
      </c>
      <c r="F23" s="467"/>
      <c r="G23" s="467">
        <v>281308.48</v>
      </c>
      <c r="H23" s="467"/>
      <c r="I23" s="467">
        <f t="shared" si="1"/>
        <v>6355047.52</v>
      </c>
      <c r="J23" s="467">
        <v>200000</v>
      </c>
      <c r="K23" s="467">
        <v>0.2</v>
      </c>
      <c r="L23" s="467">
        <f t="shared" si="2"/>
        <v>1271009.504</v>
      </c>
      <c r="M23" s="467">
        <f t="shared" si="3"/>
        <v>1471009.504</v>
      </c>
      <c r="N23" s="467">
        <f t="shared" si="4"/>
        <v>1752317.984</v>
      </c>
      <c r="O23" s="467">
        <f t="shared" si="5"/>
        <v>4884038.016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336000</v>
      </c>
      <c r="U23" s="467">
        <f t="shared" si="11"/>
        <v>404169.123840001</v>
      </c>
      <c r="V23" s="467">
        <f t="shared" si="12"/>
        <v>964169.123840001</v>
      </c>
      <c r="W23" s="474">
        <v>12</v>
      </c>
      <c r="X23" s="467">
        <f t="shared" si="13"/>
        <v>80347.4269866667</v>
      </c>
      <c r="Y23" s="467"/>
      <c r="Z23" s="467">
        <f t="shared" si="14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485</v>
      </c>
      <c r="C24" s="465">
        <v>330481.666666667</v>
      </c>
      <c r="D24" s="466">
        <v>12</v>
      </c>
      <c r="E24" s="467">
        <f t="shared" si="0"/>
        <v>3965780</v>
      </c>
      <c r="F24" s="467"/>
      <c r="G24" s="467">
        <v>259662.4</v>
      </c>
      <c r="H24" s="467"/>
      <c r="I24" s="467">
        <f t="shared" si="1"/>
        <v>3706117.6</v>
      </c>
      <c r="J24" s="467">
        <v>200000</v>
      </c>
      <c r="K24" s="467">
        <v>0.2</v>
      </c>
      <c r="L24" s="467">
        <f t="shared" si="2"/>
        <v>741223.520000001</v>
      </c>
      <c r="M24" s="467">
        <f t="shared" si="3"/>
        <v>941223.520000001</v>
      </c>
      <c r="N24" s="467">
        <f t="shared" si="4"/>
        <v>1200885.92</v>
      </c>
      <c r="O24" s="467">
        <f t="shared" si="5"/>
        <v>2764894.08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244627.756800001</v>
      </c>
      <c r="U24" s="467"/>
      <c r="V24" s="467">
        <f t="shared" si="12"/>
        <v>468627.756800001</v>
      </c>
      <c r="W24" s="474">
        <v>12</v>
      </c>
      <c r="X24" s="467">
        <f t="shared" si="13"/>
        <v>39052.3130666667</v>
      </c>
      <c r="Y24" s="467"/>
      <c r="Z24" s="467">
        <f t="shared" si="14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78</v>
      </c>
      <c r="C25" s="465">
        <v>330481.666666667</v>
      </c>
      <c r="D25" s="466">
        <v>12</v>
      </c>
      <c r="E25" s="467">
        <f t="shared" si="0"/>
        <v>3965780</v>
      </c>
      <c r="F25" s="467"/>
      <c r="G25" s="467">
        <v>259662.4</v>
      </c>
      <c r="H25" s="467"/>
      <c r="I25" s="467">
        <f t="shared" si="1"/>
        <v>3706117.6</v>
      </c>
      <c r="J25" s="467">
        <v>200000</v>
      </c>
      <c r="K25" s="467">
        <v>0.2</v>
      </c>
      <c r="L25" s="467">
        <f t="shared" si="2"/>
        <v>741223.520000001</v>
      </c>
      <c r="M25" s="467">
        <f t="shared" si="3"/>
        <v>941223.520000001</v>
      </c>
      <c r="N25" s="467">
        <f t="shared" si="4"/>
        <v>1200885.92</v>
      </c>
      <c r="O25" s="467">
        <f t="shared" si="5"/>
        <v>2764894.08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95000</v>
      </c>
      <c r="T25" s="467">
        <f t="shared" si="10"/>
        <v>244627.756800001</v>
      </c>
      <c r="U25" s="467"/>
      <c r="V25" s="467">
        <f t="shared" si="12"/>
        <v>468627.756800001</v>
      </c>
      <c r="W25" s="474">
        <v>12</v>
      </c>
      <c r="X25" s="467">
        <f t="shared" si="13"/>
        <v>39052.3130666667</v>
      </c>
      <c r="Y25" s="467"/>
      <c r="Z25" s="467">
        <f t="shared" si="14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0"/>
        <v>4445780</v>
      </c>
      <c r="F26" s="467"/>
      <c r="G26" s="467">
        <v>259662.4</v>
      </c>
      <c r="H26" s="467"/>
      <c r="I26" s="467">
        <f t="shared" si="1"/>
        <v>4186117.6</v>
      </c>
      <c r="J26" s="467">
        <v>200000</v>
      </c>
      <c r="K26" s="467">
        <v>0.2</v>
      </c>
      <c r="L26" s="467">
        <f t="shared" si="2"/>
        <v>837223.520000001</v>
      </c>
      <c r="M26" s="467">
        <f t="shared" si="3"/>
        <v>1037223.52</v>
      </c>
      <c r="N26" s="467">
        <f t="shared" si="4"/>
        <v>1296885.92</v>
      </c>
      <c r="O26" s="467">
        <f t="shared" si="5"/>
        <v>3148894.08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95000</v>
      </c>
      <c r="T26" s="467">
        <f t="shared" si="10"/>
        <v>325267.756800001</v>
      </c>
      <c r="U26" s="467"/>
      <c r="V26" s="467">
        <f t="shared" si="12"/>
        <v>549267.756800001</v>
      </c>
      <c r="W26" s="474">
        <v>12</v>
      </c>
      <c r="X26" s="467">
        <f t="shared" si="13"/>
        <v>45772.3130666667</v>
      </c>
      <c r="Y26" s="467"/>
      <c r="Z26" s="467">
        <f t="shared" si="14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83</v>
      </c>
      <c r="C27" s="465">
        <v>323165.333333333</v>
      </c>
      <c r="D27" s="466">
        <v>12</v>
      </c>
      <c r="E27" s="467">
        <f t="shared" si="0"/>
        <v>3877984</v>
      </c>
      <c r="F27" s="467"/>
      <c r="G27" s="467">
        <v>252638.72</v>
      </c>
      <c r="H27" s="467"/>
      <c r="I27" s="467">
        <f t="shared" si="1"/>
        <v>3625345.28</v>
      </c>
      <c r="J27" s="467">
        <v>200000</v>
      </c>
      <c r="K27" s="467">
        <v>0.2</v>
      </c>
      <c r="L27" s="467">
        <f t="shared" si="2"/>
        <v>725069.055999999</v>
      </c>
      <c r="M27" s="467">
        <f t="shared" si="3"/>
        <v>925069.055999999</v>
      </c>
      <c r="N27" s="467">
        <f t="shared" si="4"/>
        <v>1177707.776</v>
      </c>
      <c r="O27" s="467">
        <f t="shared" si="5"/>
        <v>2700276.224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95000</v>
      </c>
      <c r="T27" s="467">
        <f t="shared" si="10"/>
        <v>231058.007039999</v>
      </c>
      <c r="U27" s="467"/>
      <c r="V27" s="467">
        <f t="shared" si="12"/>
        <v>455058.007039999</v>
      </c>
      <c r="W27" s="474">
        <v>12</v>
      </c>
      <c r="X27" s="467">
        <f t="shared" si="13"/>
        <v>37921.5005866666</v>
      </c>
      <c r="Y27" s="467"/>
      <c r="Z27" s="467">
        <f t="shared" si="14"/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86</v>
      </c>
      <c r="C28" s="465">
        <v>315849</v>
      </c>
      <c r="D28" s="466">
        <v>12</v>
      </c>
      <c r="E28" s="467">
        <f t="shared" si="0"/>
        <v>3790188</v>
      </c>
      <c r="F28" s="467"/>
      <c r="G28" s="467">
        <v>245615.04</v>
      </c>
      <c r="H28" s="467"/>
      <c r="I28" s="467">
        <f t="shared" si="1"/>
        <v>3544572.96</v>
      </c>
      <c r="J28" s="467">
        <v>200000</v>
      </c>
      <c r="K28" s="467">
        <v>0.2</v>
      </c>
      <c r="L28" s="467">
        <f t="shared" si="2"/>
        <v>708914.592</v>
      </c>
      <c r="M28" s="467">
        <f t="shared" si="3"/>
        <v>908914.592</v>
      </c>
      <c r="N28" s="467">
        <f t="shared" si="4"/>
        <v>1154529.632</v>
      </c>
      <c r="O28" s="467">
        <f t="shared" si="5"/>
        <v>2635658.368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95000</v>
      </c>
      <c r="T28" s="467">
        <f t="shared" si="10"/>
        <v>217488.25728</v>
      </c>
      <c r="U28" s="467"/>
      <c r="V28" s="467">
        <f t="shared" si="12"/>
        <v>441488.25728</v>
      </c>
      <c r="W28" s="474">
        <v>12</v>
      </c>
      <c r="X28" s="467">
        <f t="shared" si="13"/>
        <v>36790.6881066667</v>
      </c>
      <c r="Y28" s="467"/>
      <c r="Z28" s="467">
        <f t="shared" si="14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89</v>
      </c>
      <c r="C29" s="465">
        <v>315849</v>
      </c>
      <c r="D29" s="466">
        <v>12</v>
      </c>
      <c r="E29" s="467">
        <f t="shared" si="0"/>
        <v>3790188</v>
      </c>
      <c r="F29" s="467"/>
      <c r="G29" s="467">
        <v>245615.04</v>
      </c>
      <c r="H29" s="467"/>
      <c r="I29" s="467">
        <f t="shared" si="1"/>
        <v>3544572.96</v>
      </c>
      <c r="J29" s="467">
        <v>200000</v>
      </c>
      <c r="K29" s="467">
        <v>0.2</v>
      </c>
      <c r="L29" s="467">
        <f t="shared" si="2"/>
        <v>708914.592</v>
      </c>
      <c r="M29" s="467">
        <f t="shared" si="3"/>
        <v>908914.592</v>
      </c>
      <c r="N29" s="467">
        <f t="shared" si="4"/>
        <v>1154529.632</v>
      </c>
      <c r="O29" s="467">
        <f t="shared" si="5"/>
        <v>2635658.368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95000</v>
      </c>
      <c r="T29" s="467">
        <f t="shared" si="10"/>
        <v>217488.25728</v>
      </c>
      <c r="U29" s="467"/>
      <c r="V29" s="467">
        <f t="shared" si="12"/>
        <v>441488.25728</v>
      </c>
      <c r="W29" s="474">
        <v>12</v>
      </c>
      <c r="X29" s="467">
        <f t="shared" si="13"/>
        <v>36790.6881066667</v>
      </c>
      <c r="Y29" s="467"/>
      <c r="Z29" s="467">
        <f t="shared" si="14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91</v>
      </c>
      <c r="C30" s="465">
        <v>330481.666666667</v>
      </c>
      <c r="D30" s="466">
        <v>12</v>
      </c>
      <c r="E30" s="467">
        <f t="shared" si="0"/>
        <v>3965780</v>
      </c>
      <c r="F30" s="467"/>
      <c r="G30" s="467">
        <v>259662.4</v>
      </c>
      <c r="H30" s="467"/>
      <c r="I30" s="467">
        <f t="shared" si="1"/>
        <v>3706117.6</v>
      </c>
      <c r="J30" s="467">
        <v>200000</v>
      </c>
      <c r="K30" s="467">
        <v>0.2</v>
      </c>
      <c r="L30" s="467">
        <f t="shared" si="2"/>
        <v>741223.520000001</v>
      </c>
      <c r="M30" s="467">
        <f t="shared" si="3"/>
        <v>941223.520000001</v>
      </c>
      <c r="N30" s="467">
        <f t="shared" si="4"/>
        <v>1200885.92</v>
      </c>
      <c r="O30" s="467">
        <f t="shared" si="5"/>
        <v>2764894.08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95000</v>
      </c>
      <c r="T30" s="467">
        <f t="shared" si="10"/>
        <v>244627.756800001</v>
      </c>
      <c r="U30" s="467"/>
      <c r="V30" s="467">
        <f t="shared" si="12"/>
        <v>468627.756800001</v>
      </c>
      <c r="W30" s="474">
        <v>12</v>
      </c>
      <c r="X30" s="467">
        <f t="shared" si="13"/>
        <v>39052.3130666667</v>
      </c>
      <c r="Y30" s="467"/>
      <c r="Z30" s="467">
        <f t="shared" si="14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95</v>
      </c>
      <c r="C31" s="465">
        <v>280631.916666667</v>
      </c>
      <c r="D31" s="466">
        <v>12</v>
      </c>
      <c r="E31" s="467">
        <f t="shared" si="0"/>
        <v>3367583</v>
      </c>
      <c r="F31" s="467"/>
      <c r="G31" s="468">
        <v>221406.64</v>
      </c>
      <c r="H31" s="467"/>
      <c r="I31" s="467">
        <f t="shared" si="1"/>
        <v>3146176.36</v>
      </c>
      <c r="J31" s="467">
        <v>200000</v>
      </c>
      <c r="K31" s="467">
        <v>0.2</v>
      </c>
      <c r="L31" s="467">
        <f t="shared" si="2"/>
        <v>629235.272000001</v>
      </c>
      <c r="M31" s="467">
        <f t="shared" si="3"/>
        <v>829235.272000001</v>
      </c>
      <c r="N31" s="467">
        <f t="shared" si="4"/>
        <v>1050641.912</v>
      </c>
      <c r="O31" s="467">
        <f t="shared" si="5"/>
        <v>2316941.088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95000</v>
      </c>
      <c r="T31" s="467">
        <f t="shared" si="10"/>
        <v>150557.628480001</v>
      </c>
      <c r="U31" s="467"/>
      <c r="V31" s="467">
        <f t="shared" si="12"/>
        <v>374557.628480001</v>
      </c>
      <c r="W31" s="474">
        <v>12</v>
      </c>
      <c r="X31" s="467">
        <f t="shared" si="13"/>
        <v>31213.1357066667</v>
      </c>
      <c r="Y31" s="467"/>
      <c r="Z31" s="467">
        <f t="shared" si="14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103</v>
      </c>
      <c r="C32" s="465">
        <v>274459.75</v>
      </c>
      <c r="D32" s="466">
        <v>12</v>
      </c>
      <c r="E32" s="467">
        <f t="shared" si="0"/>
        <v>3293517</v>
      </c>
      <c r="F32" s="467"/>
      <c r="G32" s="468">
        <f>17956.78*12</f>
        <v>215481.36</v>
      </c>
      <c r="H32" s="467"/>
      <c r="I32" s="467">
        <f t="shared" si="1"/>
        <v>3078035.64</v>
      </c>
      <c r="J32" s="467">
        <v>200000</v>
      </c>
      <c r="K32" s="467">
        <v>0.2</v>
      </c>
      <c r="L32" s="467">
        <f t="shared" si="2"/>
        <v>615607.128</v>
      </c>
      <c r="M32" s="467">
        <f t="shared" si="3"/>
        <v>815607.128</v>
      </c>
      <c r="N32" s="467">
        <f t="shared" si="4"/>
        <v>1031088.488</v>
      </c>
      <c r="O32" s="467">
        <f t="shared" si="5"/>
        <v>2262428.512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95000</v>
      </c>
      <c r="T32" s="467">
        <f t="shared" si="10"/>
        <v>139109.98752</v>
      </c>
      <c r="U32" s="467"/>
      <c r="V32" s="467">
        <f t="shared" si="12"/>
        <v>363109.98752</v>
      </c>
      <c r="W32" s="474">
        <v>12</v>
      </c>
      <c r="X32" s="467">
        <f t="shared" si="13"/>
        <v>30259.1656266667</v>
      </c>
      <c r="Y32" s="467"/>
      <c r="Z32" s="467">
        <f t="shared" si="14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121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122</v>
      </c>
      <c r="C35" s="471">
        <v>1535720</v>
      </c>
      <c r="D35" s="467">
        <v>12</v>
      </c>
      <c r="E35" s="467">
        <f t="shared" ref="E35:E37" si="16">C35*D35</f>
        <v>18428640</v>
      </c>
      <c r="F35" s="467"/>
      <c r="G35" s="468">
        <v>1378291.2</v>
      </c>
      <c r="H35" s="467"/>
      <c r="I35" s="467">
        <f t="shared" ref="I35:I37" si="17">E35-F35-G35-H35</f>
        <v>17050348.8</v>
      </c>
      <c r="J35" s="467">
        <v>200000</v>
      </c>
      <c r="K35" s="467">
        <v>0.2</v>
      </c>
      <c r="L35" s="467">
        <f t="shared" ref="L35:L37" si="18">I35*K35</f>
        <v>3410069.76</v>
      </c>
      <c r="M35" s="467">
        <f t="shared" ref="M35:M37" si="19">J35+L35</f>
        <v>3610069.76</v>
      </c>
      <c r="N35" s="467">
        <f t="shared" ref="N35:N37" si="20">F35+G35+H35+M35</f>
        <v>4988360.96</v>
      </c>
      <c r="O35" s="467">
        <f t="shared" ref="O35:O37" si="21">E35-N35</f>
        <v>13440279.04</v>
      </c>
      <c r="P35" s="467">
        <f t="shared" ref="P35:P37" si="22">IF(O35&lt;300000,0.07*O35,21000)</f>
        <v>21000</v>
      </c>
      <c r="Q35" s="467">
        <f t="shared" ref="Q35:Q37" si="23">IF((O35-300000)&lt;0,0,IF((O35-300000)&lt;300000,0.11*(O35-300000),33000))</f>
        <v>33000</v>
      </c>
      <c r="R35" s="467">
        <f t="shared" ref="R35:R37" si="24">IF((O35-600000)&lt;0,0,IF((O35-600000)&lt;500000,0.15*(O35-600000),75000))</f>
        <v>75000</v>
      </c>
      <c r="S35" s="467">
        <f t="shared" ref="S35:S37" si="25">IF((O35-1100000)&lt;0,0,IF((O35-1100000)&lt;500000,0.19*(O35-1100000),95000))</f>
        <v>95000</v>
      </c>
      <c r="T35" s="467">
        <f t="shared" ref="T35:T37" si="26">IF((O35-1600000)&lt;0,0,IF((O35-1600000)&lt;1600000,0.21*(O35-1600000),336000))</f>
        <v>336000</v>
      </c>
      <c r="U35" s="467">
        <f>24%*(O35-3200000)</f>
        <v>2457666.9696</v>
      </c>
      <c r="V35" s="467">
        <f t="shared" ref="V35:V37" si="27">P35+Q35+R35+S35+T35+U35</f>
        <v>3017666.9696</v>
      </c>
      <c r="W35" s="467">
        <v>12</v>
      </c>
      <c r="X35" s="467">
        <f t="shared" ref="X35:X37" si="28">V35/W35</f>
        <v>251472.247466667</v>
      </c>
      <c r="Y35" s="467"/>
      <c r="Z35" s="467">
        <f t="shared" ref="Z35:Z37" si="29">X35</f>
        <v>251472.247466667</v>
      </c>
      <c r="AA35" s="467">
        <v>161106.806858667</v>
      </c>
      <c r="AB35" s="467">
        <f t="shared" ref="AB35:AB37" si="30">Z35-AA35</f>
        <v>90365.4406079996</v>
      </c>
      <c r="AC35" s="479"/>
      <c r="AD35" s="479"/>
      <c r="AE35" s="479"/>
    </row>
    <row r="36" ht="18" spans="1:31">
      <c r="A36" s="464"/>
      <c r="B36" s="18" t="s">
        <v>127</v>
      </c>
      <c r="C36" s="467">
        <v>353029.666666667</v>
      </c>
      <c r="D36" s="466">
        <v>12</v>
      </c>
      <c r="E36" s="467">
        <f t="shared" si="16"/>
        <v>4236356</v>
      </c>
      <c r="F36" s="467"/>
      <c r="G36" s="468">
        <v>281308.48</v>
      </c>
      <c r="H36" s="467"/>
      <c r="I36" s="467">
        <f t="shared" si="17"/>
        <v>3955047.52</v>
      </c>
      <c r="J36" s="467">
        <v>200000</v>
      </c>
      <c r="K36" s="467">
        <v>0.2</v>
      </c>
      <c r="L36" s="467">
        <f t="shared" si="18"/>
        <v>791009.504000001</v>
      </c>
      <c r="M36" s="467">
        <f t="shared" si="19"/>
        <v>991009.504000001</v>
      </c>
      <c r="N36" s="467">
        <f t="shared" si="20"/>
        <v>1272317.984</v>
      </c>
      <c r="O36" s="467">
        <f t="shared" si="21"/>
        <v>2964038.016</v>
      </c>
      <c r="P36" s="467">
        <f t="shared" si="22"/>
        <v>21000</v>
      </c>
      <c r="Q36" s="467">
        <f t="shared" si="23"/>
        <v>33000</v>
      </c>
      <c r="R36" s="467">
        <f t="shared" si="24"/>
        <v>75000</v>
      </c>
      <c r="S36" s="467">
        <f t="shared" si="25"/>
        <v>95000</v>
      </c>
      <c r="T36" s="467">
        <f t="shared" si="26"/>
        <v>286447.983360001</v>
      </c>
      <c r="U36" s="467"/>
      <c r="V36" s="467">
        <f t="shared" si="27"/>
        <v>510447.983360001</v>
      </c>
      <c r="W36" s="467">
        <v>12</v>
      </c>
      <c r="X36" s="467">
        <f t="shared" si="28"/>
        <v>42537.3319466667</v>
      </c>
      <c r="Y36" s="467"/>
      <c r="Z36" s="467">
        <f t="shared" si="29"/>
        <v>42537.3319466667</v>
      </c>
      <c r="AA36" s="479">
        <v>17042.7138666667</v>
      </c>
      <c r="AB36" s="467">
        <f t="shared" si="30"/>
        <v>25494.61808</v>
      </c>
      <c r="AC36" s="479"/>
      <c r="AD36" s="479"/>
      <c r="AE36" s="479"/>
    </row>
    <row r="37" ht="18" spans="1:31">
      <c r="A37" s="464">
        <v>33</v>
      </c>
      <c r="B37" s="11" t="s">
        <v>129</v>
      </c>
      <c r="C37" s="465">
        <v>360965.583333333</v>
      </c>
      <c r="D37" s="466">
        <v>12</v>
      </c>
      <c r="E37" s="467">
        <f t="shared" si="16"/>
        <v>4331587</v>
      </c>
      <c r="F37" s="467"/>
      <c r="G37" s="468">
        <v>288926.96</v>
      </c>
      <c r="H37" s="467"/>
      <c r="I37" s="467">
        <f t="shared" si="17"/>
        <v>4042660.04</v>
      </c>
      <c r="J37" s="467">
        <v>200000</v>
      </c>
      <c r="K37" s="467">
        <v>0.2</v>
      </c>
      <c r="L37" s="467">
        <f t="shared" si="18"/>
        <v>808532.007999999</v>
      </c>
      <c r="M37" s="467">
        <f t="shared" si="19"/>
        <v>1008532.008</v>
      </c>
      <c r="N37" s="467">
        <f t="shared" si="20"/>
        <v>1297458.968</v>
      </c>
      <c r="O37" s="467">
        <f t="shared" si="21"/>
        <v>3034128.032</v>
      </c>
      <c r="P37" s="467">
        <f t="shared" si="22"/>
        <v>21000</v>
      </c>
      <c r="Q37" s="467">
        <f t="shared" si="23"/>
        <v>33000</v>
      </c>
      <c r="R37" s="467">
        <f t="shared" si="24"/>
        <v>75000</v>
      </c>
      <c r="S37" s="467">
        <f t="shared" si="25"/>
        <v>95000</v>
      </c>
      <c r="T37" s="467">
        <f t="shared" si="26"/>
        <v>301166.886719999</v>
      </c>
      <c r="U37" s="467"/>
      <c r="V37" s="467">
        <f t="shared" si="27"/>
        <v>525166.886719999</v>
      </c>
      <c r="W37" s="467">
        <v>12</v>
      </c>
      <c r="X37" s="467">
        <f t="shared" si="28"/>
        <v>43763.9072266666</v>
      </c>
      <c r="Y37" s="467"/>
      <c r="Z37" s="467">
        <f t="shared" si="29"/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137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837</v>
      </c>
      <c r="C40" s="465">
        <v>1635720</v>
      </c>
      <c r="D40" s="466">
        <v>12</v>
      </c>
      <c r="E40" s="467">
        <f t="shared" ref="E40:E50" si="31">C40*D40</f>
        <v>19628640</v>
      </c>
      <c r="F40" s="467"/>
      <c r="G40" s="468">
        <v>1378291.2</v>
      </c>
      <c r="H40" s="467"/>
      <c r="I40" s="467">
        <f t="shared" ref="I40:I50" si="32">E40-F40-G40-H40</f>
        <v>18250348.8</v>
      </c>
      <c r="J40" s="467">
        <v>200000</v>
      </c>
      <c r="K40" s="467">
        <v>0.2</v>
      </c>
      <c r="L40" s="467">
        <f t="shared" ref="L40:L50" si="33">I40*K40</f>
        <v>3650069.76</v>
      </c>
      <c r="M40" s="467">
        <f t="shared" ref="M40:M50" si="34">J40+L40</f>
        <v>3850069.76</v>
      </c>
      <c r="N40" s="467">
        <f t="shared" ref="N40:N50" si="35">F40+G40+H40+M40</f>
        <v>5228360.96</v>
      </c>
      <c r="O40" s="467">
        <f t="shared" ref="O40:O50" si="36">E40-N40</f>
        <v>14400279.04</v>
      </c>
      <c r="P40" s="467">
        <f t="shared" ref="P40:P50" si="37">IF(O40&lt;300000,0.07*O40,21000)</f>
        <v>21000</v>
      </c>
      <c r="Q40" s="467">
        <f t="shared" ref="Q40:Q50" si="38">IF((O40-300000)&lt;0,0,IF((O40-300000)&lt;300000,0.11*(O40-300000),33000))</f>
        <v>33000</v>
      </c>
      <c r="R40" s="467">
        <f t="shared" ref="R40:R50" si="39">IF((O40-600000)&lt;0,0,IF((O40-600000)&lt;500000,0.15*(O40-600000),75000))</f>
        <v>75000</v>
      </c>
      <c r="S40" s="467">
        <f t="shared" ref="S40:S50" si="40">IF((O40-1100000)&lt;0,0,IF((O40-1100000)&lt;500000,0.19*(O40-1100000),95000))</f>
        <v>95000</v>
      </c>
      <c r="T40" s="467">
        <f t="shared" ref="T40:T50" si="41">IF((O40-1600000)&lt;0,0,IF((O40-1600000)&lt;1600000,0.21*(O40-1600000),336000))</f>
        <v>336000</v>
      </c>
      <c r="U40" s="467">
        <f>0.24*(O40-3200000)</f>
        <v>2688066.9696</v>
      </c>
      <c r="V40" s="467">
        <f t="shared" ref="V40:V50" si="42">P40+Q40+R40+S40+T40+U40</f>
        <v>3248066.9696</v>
      </c>
      <c r="W40" s="474">
        <v>12</v>
      </c>
      <c r="X40" s="467">
        <f t="shared" ref="X40:X50" si="43">V40/W40</f>
        <v>270672.247466667</v>
      </c>
      <c r="Y40" s="467"/>
      <c r="Z40" s="467">
        <f t="shared" ref="Z40:Z50" si="44">X40</f>
        <v>270672.247466667</v>
      </c>
      <c r="AA40" s="479">
        <v>180306.806858667</v>
      </c>
      <c r="AB40" s="479">
        <f t="shared" ref="AB40:AB50" si="45"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839</v>
      </c>
      <c r="C41" s="467">
        <v>780675.583333333</v>
      </c>
      <c r="D41" s="466">
        <v>12</v>
      </c>
      <c r="E41" s="467">
        <f t="shared" si="31"/>
        <v>9368107</v>
      </c>
      <c r="F41" s="470"/>
      <c r="G41" s="468">
        <v>595848.56</v>
      </c>
      <c r="H41" s="470"/>
      <c r="I41" s="467">
        <f t="shared" si="32"/>
        <v>8772258.44</v>
      </c>
      <c r="J41" s="467">
        <v>200000</v>
      </c>
      <c r="K41" s="467">
        <v>0.2</v>
      </c>
      <c r="L41" s="467">
        <f t="shared" si="33"/>
        <v>1754451.688</v>
      </c>
      <c r="M41" s="467">
        <f t="shared" si="34"/>
        <v>1954451.688</v>
      </c>
      <c r="N41" s="467">
        <f t="shared" si="35"/>
        <v>2550300.248</v>
      </c>
      <c r="O41" s="467">
        <f t="shared" si="36"/>
        <v>6817806.752</v>
      </c>
      <c r="P41" s="467">
        <f t="shared" si="37"/>
        <v>21000</v>
      </c>
      <c r="Q41" s="467">
        <f t="shared" si="38"/>
        <v>33000</v>
      </c>
      <c r="R41" s="467">
        <f t="shared" si="39"/>
        <v>75000</v>
      </c>
      <c r="S41" s="467">
        <f t="shared" si="40"/>
        <v>95000</v>
      </c>
      <c r="T41" s="467">
        <f t="shared" si="41"/>
        <v>336000</v>
      </c>
      <c r="U41" s="467">
        <f t="shared" ref="U41:U47" si="46">24%*(O41-3200000)</f>
        <v>868273.620479999</v>
      </c>
      <c r="V41" s="467">
        <f t="shared" si="42"/>
        <v>1428273.62048</v>
      </c>
      <c r="W41" s="474">
        <v>12</v>
      </c>
      <c r="X41" s="467">
        <f t="shared" si="43"/>
        <v>119022.801706667</v>
      </c>
      <c r="Y41" s="470"/>
      <c r="Z41" s="467">
        <f t="shared" si="44"/>
        <v>119022.801706667</v>
      </c>
      <c r="AA41" s="479">
        <v>79956.9391466667</v>
      </c>
      <c r="AB41" s="479">
        <f t="shared" si="45"/>
        <v>39065.8625599999</v>
      </c>
      <c r="AC41" s="479"/>
      <c r="AD41" s="479"/>
      <c r="AE41" s="479"/>
    </row>
    <row r="42" ht="18" spans="1:31">
      <c r="A42" s="464">
        <v>37</v>
      </c>
      <c r="B42" s="11" t="s">
        <v>138</v>
      </c>
      <c r="C42" s="616">
        <v>1019203.58333333</v>
      </c>
      <c r="D42" s="466">
        <v>12</v>
      </c>
      <c r="E42" s="467">
        <f t="shared" si="31"/>
        <v>12230443</v>
      </c>
      <c r="F42" s="470"/>
      <c r="G42" s="468">
        <v>709635.44</v>
      </c>
      <c r="H42" s="470"/>
      <c r="I42" s="467">
        <f t="shared" si="32"/>
        <v>11520807.56</v>
      </c>
      <c r="J42" s="467">
        <v>200000</v>
      </c>
      <c r="K42" s="467">
        <v>0.2</v>
      </c>
      <c r="L42" s="467">
        <f t="shared" si="33"/>
        <v>2304161.512</v>
      </c>
      <c r="M42" s="467">
        <f t="shared" si="34"/>
        <v>2504161.512</v>
      </c>
      <c r="N42" s="467">
        <f t="shared" si="35"/>
        <v>3213796.952</v>
      </c>
      <c r="O42" s="467">
        <f t="shared" si="36"/>
        <v>9016646.048</v>
      </c>
      <c r="P42" s="467">
        <f t="shared" si="37"/>
        <v>21000</v>
      </c>
      <c r="Q42" s="467">
        <f t="shared" si="38"/>
        <v>33000</v>
      </c>
      <c r="R42" s="467">
        <f t="shared" si="39"/>
        <v>75000</v>
      </c>
      <c r="S42" s="467">
        <f t="shared" si="40"/>
        <v>95000</v>
      </c>
      <c r="T42" s="467">
        <f t="shared" si="41"/>
        <v>336000</v>
      </c>
      <c r="U42" s="467">
        <f t="shared" si="46"/>
        <v>1395995.05152</v>
      </c>
      <c r="V42" s="467">
        <f t="shared" si="42"/>
        <v>1955995.05152</v>
      </c>
      <c r="W42" s="474">
        <v>12</v>
      </c>
      <c r="X42" s="467">
        <f t="shared" si="43"/>
        <v>162999.587626667</v>
      </c>
      <c r="Y42" s="470"/>
      <c r="Z42" s="467">
        <f t="shared" si="44"/>
        <v>162999.587626667</v>
      </c>
      <c r="AA42" s="479">
        <v>97273.5138506667</v>
      </c>
      <c r="AB42" s="479">
        <f t="shared" si="45"/>
        <v>65726.0737759999</v>
      </c>
      <c r="AC42" s="479"/>
      <c r="AD42" s="479"/>
      <c r="AE42" s="479"/>
    </row>
    <row r="43" ht="18" spans="1:31">
      <c r="A43" s="464">
        <v>38</v>
      </c>
      <c r="B43" s="11" t="s">
        <v>141</v>
      </c>
      <c r="C43" s="467">
        <v>780675.583333333</v>
      </c>
      <c r="D43" s="466">
        <v>12</v>
      </c>
      <c r="E43" s="467">
        <f t="shared" si="31"/>
        <v>9368107</v>
      </c>
      <c r="F43" s="470"/>
      <c r="G43" s="468">
        <v>595848.56</v>
      </c>
      <c r="H43" s="470"/>
      <c r="I43" s="467">
        <f t="shared" si="32"/>
        <v>8772258.44</v>
      </c>
      <c r="J43" s="467">
        <v>200000</v>
      </c>
      <c r="K43" s="467">
        <v>0.2</v>
      </c>
      <c r="L43" s="467">
        <f t="shared" si="33"/>
        <v>1754451.688</v>
      </c>
      <c r="M43" s="467">
        <f t="shared" si="34"/>
        <v>1954451.688</v>
      </c>
      <c r="N43" s="467">
        <f t="shared" si="35"/>
        <v>2550300.248</v>
      </c>
      <c r="O43" s="467">
        <f t="shared" si="36"/>
        <v>6817806.752</v>
      </c>
      <c r="P43" s="467">
        <f t="shared" si="37"/>
        <v>21000</v>
      </c>
      <c r="Q43" s="467">
        <f t="shared" si="38"/>
        <v>33000</v>
      </c>
      <c r="R43" s="467">
        <f t="shared" si="39"/>
        <v>75000</v>
      </c>
      <c r="S43" s="467">
        <f t="shared" si="40"/>
        <v>95000</v>
      </c>
      <c r="T43" s="467">
        <f t="shared" si="41"/>
        <v>336000</v>
      </c>
      <c r="U43" s="467">
        <f t="shared" si="46"/>
        <v>868273.620479999</v>
      </c>
      <c r="V43" s="467">
        <f t="shared" si="42"/>
        <v>1428273.62048</v>
      </c>
      <c r="W43" s="474">
        <v>12</v>
      </c>
      <c r="X43" s="467">
        <f t="shared" si="43"/>
        <v>119022.801706667</v>
      </c>
      <c r="Y43" s="470"/>
      <c r="Z43" s="467">
        <f t="shared" si="44"/>
        <v>119022.801706667</v>
      </c>
      <c r="AA43" s="479">
        <v>79956.9391466667</v>
      </c>
      <c r="AB43" s="479">
        <f t="shared" si="45"/>
        <v>39065.8625599999</v>
      </c>
      <c r="AC43" s="479"/>
      <c r="AD43" s="479"/>
      <c r="AE43" s="479"/>
    </row>
    <row r="44" ht="18" spans="1:31">
      <c r="A44" s="464">
        <v>39</v>
      </c>
      <c r="B44" s="11" t="s">
        <v>143</v>
      </c>
      <c r="C44" s="467">
        <v>780675.583333333</v>
      </c>
      <c r="D44" s="466">
        <v>12</v>
      </c>
      <c r="E44" s="467">
        <f t="shared" si="31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2"/>
        <v>8762206.19</v>
      </c>
      <c r="J44" s="467">
        <v>200000</v>
      </c>
      <c r="K44" s="467">
        <v>0.2</v>
      </c>
      <c r="L44" s="467">
        <f t="shared" si="33"/>
        <v>1752441.238</v>
      </c>
      <c r="M44" s="467">
        <f t="shared" si="34"/>
        <v>1952441.238</v>
      </c>
      <c r="N44" s="467">
        <f t="shared" si="35"/>
        <v>2558342.048</v>
      </c>
      <c r="O44" s="467">
        <f t="shared" si="36"/>
        <v>6809764.952</v>
      </c>
      <c r="P44" s="467">
        <f t="shared" si="37"/>
        <v>21000</v>
      </c>
      <c r="Q44" s="467">
        <f t="shared" si="38"/>
        <v>33000</v>
      </c>
      <c r="R44" s="467">
        <f t="shared" si="39"/>
        <v>75000</v>
      </c>
      <c r="S44" s="467">
        <f t="shared" si="40"/>
        <v>95000</v>
      </c>
      <c r="T44" s="467">
        <f t="shared" si="41"/>
        <v>336000</v>
      </c>
      <c r="U44" s="467">
        <f t="shared" si="46"/>
        <v>866343.588479999</v>
      </c>
      <c r="V44" s="467">
        <f t="shared" si="42"/>
        <v>1426343.58848</v>
      </c>
      <c r="W44" s="474">
        <v>12</v>
      </c>
      <c r="X44" s="467">
        <f t="shared" si="43"/>
        <v>118861.965706667</v>
      </c>
      <c r="Y44" s="470"/>
      <c r="Z44" s="467">
        <f t="shared" si="44"/>
        <v>118861.965706667</v>
      </c>
      <c r="AA44" s="479">
        <v>79796.1031466666</v>
      </c>
      <c r="AB44" s="479">
        <f t="shared" si="45"/>
        <v>39065.86256</v>
      </c>
      <c r="AC44" s="479"/>
      <c r="AD44" s="479"/>
      <c r="AE44" s="479"/>
    </row>
    <row r="45" ht="18" spans="1:31">
      <c r="A45" s="464">
        <v>40</v>
      </c>
      <c r="B45" s="11" t="s">
        <v>144</v>
      </c>
      <c r="C45" s="467">
        <v>742118.083333333</v>
      </c>
      <c r="D45" s="466">
        <v>12</v>
      </c>
      <c r="E45" s="467">
        <f t="shared" si="31"/>
        <v>8905417</v>
      </c>
      <c r="F45" s="467"/>
      <c r="G45" s="468">
        <v>558833.36</v>
      </c>
      <c r="H45" s="470"/>
      <c r="I45" s="467">
        <f t="shared" si="32"/>
        <v>8346583.64</v>
      </c>
      <c r="J45" s="467">
        <v>200000</v>
      </c>
      <c r="K45" s="467">
        <v>0.2</v>
      </c>
      <c r="L45" s="467">
        <f t="shared" si="33"/>
        <v>1669316.728</v>
      </c>
      <c r="M45" s="467">
        <f t="shared" si="34"/>
        <v>1869316.728</v>
      </c>
      <c r="N45" s="467">
        <f t="shared" si="35"/>
        <v>2428150.088</v>
      </c>
      <c r="O45" s="467">
        <f t="shared" si="36"/>
        <v>6477266.912</v>
      </c>
      <c r="P45" s="467">
        <f t="shared" si="37"/>
        <v>21000</v>
      </c>
      <c r="Q45" s="467">
        <f t="shared" si="38"/>
        <v>33000</v>
      </c>
      <c r="R45" s="467">
        <f t="shared" si="39"/>
        <v>75000</v>
      </c>
      <c r="S45" s="467">
        <f t="shared" si="40"/>
        <v>95000</v>
      </c>
      <c r="T45" s="467">
        <f t="shared" si="41"/>
        <v>336000</v>
      </c>
      <c r="U45" s="467">
        <f t="shared" si="46"/>
        <v>786544.058879999</v>
      </c>
      <c r="V45" s="467">
        <f t="shared" si="42"/>
        <v>1346544.05888</v>
      </c>
      <c r="W45" s="474">
        <v>12</v>
      </c>
      <c r="X45" s="467">
        <f t="shared" si="43"/>
        <v>112212.004906667</v>
      </c>
      <c r="Y45" s="470"/>
      <c r="Z45" s="467">
        <f t="shared" si="44"/>
        <v>112212.004906667</v>
      </c>
      <c r="AA45" s="479">
        <v>75572.9156906667</v>
      </c>
      <c r="AB45" s="479">
        <f t="shared" si="45"/>
        <v>36639.0892159999</v>
      </c>
      <c r="AC45" s="479"/>
      <c r="AD45" s="479"/>
      <c r="AE45" s="479"/>
    </row>
    <row r="46" ht="18" spans="1:31">
      <c r="A46" s="464">
        <v>41</v>
      </c>
      <c r="B46" s="14" t="s">
        <v>145</v>
      </c>
      <c r="C46" s="467">
        <v>610498</v>
      </c>
      <c r="D46" s="466">
        <v>12</v>
      </c>
      <c r="E46" s="467">
        <f t="shared" si="31"/>
        <v>7325976</v>
      </c>
      <c r="F46" s="467"/>
      <c r="G46" s="468">
        <v>451678.08</v>
      </c>
      <c r="H46" s="470"/>
      <c r="I46" s="467">
        <f t="shared" si="32"/>
        <v>6874297.92</v>
      </c>
      <c r="J46" s="467">
        <v>200000</v>
      </c>
      <c r="K46" s="467">
        <v>0.2</v>
      </c>
      <c r="L46" s="467">
        <f t="shared" si="33"/>
        <v>1374859.584</v>
      </c>
      <c r="M46" s="467">
        <f t="shared" si="34"/>
        <v>1574859.584</v>
      </c>
      <c r="N46" s="467">
        <f t="shared" si="35"/>
        <v>2026537.664</v>
      </c>
      <c r="O46" s="467">
        <f t="shared" si="36"/>
        <v>5299438.336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si="46"/>
        <v>503865.20064</v>
      </c>
      <c r="V46" s="467">
        <f t="shared" si="42"/>
        <v>1063865.20064</v>
      </c>
      <c r="W46" s="474">
        <v>12</v>
      </c>
      <c r="X46" s="467">
        <f t="shared" si="43"/>
        <v>88655.4333866667</v>
      </c>
      <c r="Y46" s="470"/>
      <c r="Z46" s="467">
        <f t="shared" si="44"/>
        <v>88655.4333866667</v>
      </c>
      <c r="AA46" s="479">
        <v>58026.6094346667</v>
      </c>
      <c r="AB46" s="479">
        <f t="shared" si="45"/>
        <v>30628.823952</v>
      </c>
      <c r="AC46" s="479"/>
      <c r="AD46" s="479"/>
      <c r="AE46" s="479"/>
    </row>
    <row r="47" ht="18" spans="1:31">
      <c r="A47" s="464">
        <v>42</v>
      </c>
      <c r="B47" s="11" t="s">
        <v>149</v>
      </c>
      <c r="C47" s="467">
        <v>400965.583333333</v>
      </c>
      <c r="D47" s="466">
        <v>12</v>
      </c>
      <c r="E47" s="467">
        <f t="shared" si="31"/>
        <v>4811587</v>
      </c>
      <c r="F47" s="467"/>
      <c r="G47" s="468">
        <v>288926.96</v>
      </c>
      <c r="H47" s="470"/>
      <c r="I47" s="467">
        <f t="shared" si="32"/>
        <v>4522660.04</v>
      </c>
      <c r="J47" s="467">
        <v>200000</v>
      </c>
      <c r="K47" s="467">
        <v>0.2</v>
      </c>
      <c r="L47" s="467">
        <f t="shared" si="33"/>
        <v>904532.007999999</v>
      </c>
      <c r="M47" s="467">
        <f t="shared" si="34"/>
        <v>1104532.008</v>
      </c>
      <c r="N47" s="467">
        <f t="shared" si="35"/>
        <v>1393458.968</v>
      </c>
      <c r="O47" s="467">
        <f t="shared" si="36"/>
        <v>3418128.032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52350.7276799992</v>
      </c>
      <c r="V47" s="467">
        <f t="shared" si="42"/>
        <v>612350.727679999</v>
      </c>
      <c r="W47" s="474">
        <v>12</v>
      </c>
      <c r="X47" s="467">
        <f t="shared" si="43"/>
        <v>51029.2273066666</v>
      </c>
      <c r="Y47" s="470"/>
      <c r="Z47" s="467">
        <f t="shared" si="44"/>
        <v>51029.2273066666</v>
      </c>
      <c r="AA47" s="479">
        <v>33059.0784066667</v>
      </c>
      <c r="AB47" s="479">
        <f t="shared" si="45"/>
        <v>17970.1488999999</v>
      </c>
      <c r="AC47" s="479"/>
      <c r="AD47" s="479"/>
      <c r="AE47" s="479"/>
    </row>
    <row r="48" ht="18" spans="1:31">
      <c r="A48" s="464">
        <v>43</v>
      </c>
      <c r="B48" s="11" t="s">
        <v>153</v>
      </c>
      <c r="C48" s="467">
        <v>363165.333333333</v>
      </c>
      <c r="D48" s="466">
        <v>12</v>
      </c>
      <c r="E48" s="467">
        <f t="shared" si="31"/>
        <v>4357984</v>
      </c>
      <c r="F48" s="467"/>
      <c r="G48" s="468">
        <v>252638.72</v>
      </c>
      <c r="H48" s="470"/>
      <c r="I48" s="467">
        <f t="shared" si="32"/>
        <v>4105345.28</v>
      </c>
      <c r="J48" s="467">
        <v>200000</v>
      </c>
      <c r="K48" s="467">
        <v>0.2</v>
      </c>
      <c r="L48" s="467">
        <f t="shared" si="33"/>
        <v>821069.055999999</v>
      </c>
      <c r="M48" s="467">
        <f t="shared" si="34"/>
        <v>1021069.056</v>
      </c>
      <c r="N48" s="467">
        <f t="shared" si="35"/>
        <v>1273707.776</v>
      </c>
      <c r="O48" s="467">
        <f t="shared" si="36"/>
        <v>3084276.224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311698.007039999</v>
      </c>
      <c r="U48" s="467"/>
      <c r="V48" s="467">
        <f t="shared" si="42"/>
        <v>535698.007039999</v>
      </c>
      <c r="W48" s="474">
        <v>12</v>
      </c>
      <c r="X48" s="467">
        <f t="shared" si="43"/>
        <v>44641.5005866666</v>
      </c>
      <c r="Y48" s="470"/>
      <c r="Z48" s="467">
        <f t="shared" si="44"/>
        <v>44641.5005866666</v>
      </c>
      <c r="AA48" s="479">
        <v>29058.4826046667</v>
      </c>
      <c r="AB48" s="479">
        <f t="shared" si="45"/>
        <v>15583.0179819999</v>
      </c>
      <c r="AC48" s="479"/>
      <c r="AD48" s="479"/>
      <c r="AE48" s="479"/>
    </row>
    <row r="49" ht="18" spans="1:31">
      <c r="A49" s="464">
        <v>44</v>
      </c>
      <c r="B49" s="11" t="s">
        <v>840</v>
      </c>
      <c r="C49" s="467">
        <v>363165.333333333</v>
      </c>
      <c r="D49" s="466">
        <v>12</v>
      </c>
      <c r="E49" s="467">
        <f t="shared" si="31"/>
        <v>4357984</v>
      </c>
      <c r="F49" s="467"/>
      <c r="G49" s="468">
        <v>252638.72</v>
      </c>
      <c r="H49" s="470"/>
      <c r="I49" s="467">
        <f t="shared" si="32"/>
        <v>4105345.28</v>
      </c>
      <c r="J49" s="467">
        <v>200000</v>
      </c>
      <c r="K49" s="467">
        <v>0.2</v>
      </c>
      <c r="L49" s="467">
        <f t="shared" si="33"/>
        <v>821069.055999999</v>
      </c>
      <c r="M49" s="467">
        <f t="shared" si="34"/>
        <v>1021069.056</v>
      </c>
      <c r="N49" s="467">
        <f t="shared" si="35"/>
        <v>1273707.776</v>
      </c>
      <c r="O49" s="467">
        <f t="shared" si="36"/>
        <v>3084276.224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311698.007039999</v>
      </c>
      <c r="U49" s="467"/>
      <c r="V49" s="467">
        <f t="shared" si="42"/>
        <v>535698.007039999</v>
      </c>
      <c r="W49" s="474">
        <v>12</v>
      </c>
      <c r="X49" s="467">
        <f t="shared" si="43"/>
        <v>44641.5005866666</v>
      </c>
      <c r="Y49" s="470"/>
      <c r="Z49" s="467">
        <f t="shared" si="44"/>
        <v>44641.5005866666</v>
      </c>
      <c r="AA49" s="479">
        <v>28360.9528626667</v>
      </c>
      <c r="AB49" s="479">
        <f t="shared" si="45"/>
        <v>16280.5477239999</v>
      </c>
      <c r="AC49" s="479"/>
      <c r="AD49" s="479"/>
      <c r="AE49" s="479"/>
    </row>
    <row r="50" ht="18" spans="1:31">
      <c r="A50" s="464">
        <v>45</v>
      </c>
      <c r="B50" s="11" t="s">
        <v>154</v>
      </c>
      <c r="C50" s="467">
        <v>363165.333333333</v>
      </c>
      <c r="D50" s="466">
        <v>12</v>
      </c>
      <c r="E50" s="467">
        <f t="shared" si="31"/>
        <v>4357984</v>
      </c>
      <c r="F50" s="467"/>
      <c r="G50" s="468">
        <v>252638.72</v>
      </c>
      <c r="H50" s="470"/>
      <c r="I50" s="467">
        <f t="shared" si="32"/>
        <v>4105345.28</v>
      </c>
      <c r="J50" s="467">
        <v>200000</v>
      </c>
      <c r="K50" s="467">
        <v>0.2</v>
      </c>
      <c r="L50" s="467">
        <f t="shared" si="33"/>
        <v>821069.055999999</v>
      </c>
      <c r="M50" s="467">
        <f t="shared" si="34"/>
        <v>1021069.056</v>
      </c>
      <c r="N50" s="467">
        <f t="shared" si="35"/>
        <v>1273707.776</v>
      </c>
      <c r="O50" s="467">
        <f t="shared" si="36"/>
        <v>3084276.224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311698.007039999</v>
      </c>
      <c r="U50" s="467"/>
      <c r="V50" s="467">
        <f t="shared" si="42"/>
        <v>535698.007039999</v>
      </c>
      <c r="W50" s="474">
        <v>12</v>
      </c>
      <c r="X50" s="467">
        <f t="shared" si="43"/>
        <v>44641.5005866666</v>
      </c>
      <c r="Y50" s="470"/>
      <c r="Z50" s="467">
        <f t="shared" si="44"/>
        <v>44641.5005866666</v>
      </c>
      <c r="AA50" s="479">
        <v>29058.4826046667</v>
      </c>
      <c r="AB50" s="479">
        <f t="shared" si="4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156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157</v>
      </c>
      <c r="C53" s="467">
        <v>1635720</v>
      </c>
      <c r="D53" s="466">
        <v>12</v>
      </c>
      <c r="E53" s="467">
        <f t="shared" ref="E53:E66" si="47">C53*D53</f>
        <v>19628640</v>
      </c>
      <c r="F53" s="467"/>
      <c r="G53" s="468">
        <v>1378291.2</v>
      </c>
      <c r="H53" s="470"/>
      <c r="I53" s="467">
        <f t="shared" ref="I53:I66" si="48">E53-F53-G53-H53</f>
        <v>18250348.8</v>
      </c>
      <c r="J53" s="467">
        <v>200000</v>
      </c>
      <c r="K53" s="467">
        <v>0.2</v>
      </c>
      <c r="L53" s="467">
        <f t="shared" ref="L53:L66" si="49">I53*K53</f>
        <v>3650069.76</v>
      </c>
      <c r="M53" s="467">
        <f t="shared" ref="M53:M66" si="50">J53+L53</f>
        <v>3850069.76</v>
      </c>
      <c r="N53" s="467">
        <f t="shared" ref="N53:N66" si="51">F53+G53+H53+M53</f>
        <v>5228360.96</v>
      </c>
      <c r="O53" s="467">
        <f t="shared" ref="O53:O66" si="52">E53-N53</f>
        <v>14400279.04</v>
      </c>
      <c r="P53" s="467">
        <f t="shared" ref="P53:P66" si="53">IF(O53&lt;300000,0.07*O53,21000)</f>
        <v>21000</v>
      </c>
      <c r="Q53" s="467">
        <f t="shared" ref="Q53:Q66" si="54">IF((O53-300000)&lt;0,0,IF((O53-300000)&lt;300000,0.11*(O53-300000),33000))</f>
        <v>33000</v>
      </c>
      <c r="R53" s="467">
        <f t="shared" ref="R53:R66" si="55">IF((O53-600000)&lt;0,0,IF((O53-600000)&lt;500000,0.15*(O53-600000),75000))</f>
        <v>75000</v>
      </c>
      <c r="S53" s="467">
        <f t="shared" ref="S53:S66" si="56">IF((O53-1100000)&lt;0,0,IF((O53-1100000)&lt;500000,0.19*(O53-1100000),95000))</f>
        <v>95000</v>
      </c>
      <c r="T53" s="467">
        <f t="shared" ref="T53:T66" si="57">IF((O53-1600000)&lt;0,0,IF((O53-1600000)&lt;1600000,0.21*(O53-1600000),336000))</f>
        <v>336000</v>
      </c>
      <c r="U53" s="467">
        <f t="shared" ref="U53:U66" si="58">24%*(O53-3200000)</f>
        <v>2688066.9696</v>
      </c>
      <c r="V53" s="467">
        <f t="shared" ref="V53:V66" si="59">P53+Q53+R53+S53+T53+U53</f>
        <v>3248066.9696</v>
      </c>
      <c r="W53" s="474">
        <v>12</v>
      </c>
      <c r="X53" s="467">
        <f t="shared" ref="X53:X66" si="60">V53/W53</f>
        <v>270672.247466667</v>
      </c>
      <c r="Y53" s="470"/>
      <c r="Z53" s="467">
        <f t="shared" ref="Z53:Z66" si="61">X53</f>
        <v>270672.247466667</v>
      </c>
      <c r="AA53" s="479">
        <v>180306.806858667</v>
      </c>
      <c r="AB53" s="479">
        <f t="shared" ref="AB53:AB66" si="62"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159</v>
      </c>
      <c r="C54" s="467">
        <v>700675.583333333</v>
      </c>
      <c r="D54" s="466">
        <v>12</v>
      </c>
      <c r="E54" s="467">
        <f t="shared" si="47"/>
        <v>8408107</v>
      </c>
      <c r="F54" s="467"/>
      <c r="G54" s="467">
        <v>595848.56</v>
      </c>
      <c r="H54" s="470"/>
      <c r="I54" s="467">
        <f t="shared" si="48"/>
        <v>7812258.44</v>
      </c>
      <c r="J54" s="467">
        <v>200000</v>
      </c>
      <c r="K54" s="467">
        <v>0.2</v>
      </c>
      <c r="L54" s="467">
        <f t="shared" si="49"/>
        <v>1562451.688</v>
      </c>
      <c r="M54" s="467">
        <f t="shared" si="50"/>
        <v>1762451.688</v>
      </c>
      <c r="N54" s="467">
        <f t="shared" si="51"/>
        <v>2358300.248</v>
      </c>
      <c r="O54" s="467">
        <f t="shared" si="52"/>
        <v>6049806.752</v>
      </c>
      <c r="P54" s="467">
        <f t="shared" si="53"/>
        <v>21000</v>
      </c>
      <c r="Q54" s="467">
        <f t="shared" si="54"/>
        <v>33000</v>
      </c>
      <c r="R54" s="467">
        <f t="shared" si="55"/>
        <v>75000</v>
      </c>
      <c r="S54" s="467">
        <f t="shared" si="56"/>
        <v>95000</v>
      </c>
      <c r="T54" s="467">
        <f t="shared" si="57"/>
        <v>336000</v>
      </c>
      <c r="U54" s="467">
        <f t="shared" si="58"/>
        <v>683953.620479999</v>
      </c>
      <c r="V54" s="467">
        <f t="shared" si="59"/>
        <v>1243953.62048</v>
      </c>
      <c r="W54" s="474">
        <v>12</v>
      </c>
      <c r="X54" s="467">
        <f t="shared" si="60"/>
        <v>103662.801706667</v>
      </c>
      <c r="Y54" s="470"/>
      <c r="Z54" s="467">
        <f t="shared" si="61"/>
        <v>103662.801706667</v>
      </c>
      <c r="AA54" s="479">
        <v>64596.9391466667</v>
      </c>
      <c r="AB54" s="479">
        <f t="shared" si="62"/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162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842</v>
      </c>
      <c r="C57" s="467">
        <v>1635720</v>
      </c>
      <c r="D57" s="466">
        <v>12</v>
      </c>
      <c r="E57" s="467">
        <f t="shared" si="47"/>
        <v>19628640</v>
      </c>
      <c r="F57" s="467"/>
      <c r="G57" s="468">
        <v>0</v>
      </c>
      <c r="H57" s="470"/>
      <c r="I57" s="467">
        <f t="shared" si="48"/>
        <v>19628640</v>
      </c>
      <c r="J57" s="467">
        <v>200000</v>
      </c>
      <c r="K57" s="467">
        <v>0.2</v>
      </c>
      <c r="L57" s="467">
        <f t="shared" si="49"/>
        <v>3925728</v>
      </c>
      <c r="M57" s="467">
        <f t="shared" si="50"/>
        <v>4125728</v>
      </c>
      <c r="N57" s="467">
        <f t="shared" si="51"/>
        <v>4125728</v>
      </c>
      <c r="O57" s="467">
        <f t="shared" si="52"/>
        <v>15502912</v>
      </c>
      <c r="P57" s="467">
        <f t="shared" si="53"/>
        <v>21000</v>
      </c>
      <c r="Q57" s="467">
        <f t="shared" si="54"/>
        <v>33000</v>
      </c>
      <c r="R57" s="467">
        <f t="shared" si="55"/>
        <v>75000</v>
      </c>
      <c r="S57" s="467">
        <f t="shared" si="56"/>
        <v>95000</v>
      </c>
      <c r="T57" s="467">
        <f t="shared" si="57"/>
        <v>336000</v>
      </c>
      <c r="U57" s="467">
        <f t="shared" si="58"/>
        <v>2952698.88</v>
      </c>
      <c r="V57" s="467">
        <f t="shared" si="59"/>
        <v>3512698.88</v>
      </c>
      <c r="W57" s="474">
        <v>12</v>
      </c>
      <c r="X57" s="467">
        <f t="shared" si="60"/>
        <v>292724.906666667</v>
      </c>
      <c r="Y57" s="470"/>
      <c r="Z57" s="467">
        <f t="shared" si="61"/>
        <v>292724.906666667</v>
      </c>
      <c r="AA57" s="479">
        <v>180306.806858667</v>
      </c>
      <c r="AB57" s="479">
        <f t="shared" si="62"/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844</v>
      </c>
      <c r="C58" s="467">
        <v>761396.833333333</v>
      </c>
      <c r="D58" s="466">
        <v>12</v>
      </c>
      <c r="E58" s="467">
        <f t="shared" si="47"/>
        <v>9136762</v>
      </c>
      <c r="F58" s="467"/>
      <c r="G58" s="473">
        <f>48111.7466666667*12</f>
        <v>577340.96</v>
      </c>
      <c r="H58" s="470"/>
      <c r="I58" s="467">
        <f t="shared" si="48"/>
        <v>8559421.04</v>
      </c>
      <c r="J58" s="467">
        <v>200000</v>
      </c>
      <c r="K58" s="467">
        <v>0.2</v>
      </c>
      <c r="L58" s="467">
        <f t="shared" si="49"/>
        <v>1711884.208</v>
      </c>
      <c r="M58" s="467">
        <f t="shared" si="50"/>
        <v>1911884.208</v>
      </c>
      <c r="N58" s="467">
        <f t="shared" si="51"/>
        <v>2489225.168</v>
      </c>
      <c r="O58" s="467">
        <f t="shared" si="52"/>
        <v>6647536.832</v>
      </c>
      <c r="P58" s="467">
        <f t="shared" si="53"/>
        <v>21000</v>
      </c>
      <c r="Q58" s="467">
        <f t="shared" si="54"/>
        <v>33000</v>
      </c>
      <c r="R58" s="467">
        <f t="shared" si="55"/>
        <v>75000</v>
      </c>
      <c r="S58" s="467">
        <f t="shared" si="56"/>
        <v>95000</v>
      </c>
      <c r="T58" s="467">
        <f t="shared" si="57"/>
        <v>336000</v>
      </c>
      <c r="U58" s="467">
        <f t="shared" si="58"/>
        <v>827408.839679999</v>
      </c>
      <c r="V58" s="467">
        <f t="shared" si="59"/>
        <v>1387408.83968</v>
      </c>
      <c r="W58" s="474">
        <v>12</v>
      </c>
      <c r="X58" s="467">
        <f t="shared" si="60"/>
        <v>115617.403306667</v>
      </c>
      <c r="Y58" s="470"/>
      <c r="Z58" s="467">
        <f t="shared" si="61"/>
        <v>115617.403306667</v>
      </c>
      <c r="AA58" s="479">
        <v>77764.9802666667</v>
      </c>
      <c r="AB58" s="479">
        <f t="shared" si="62"/>
        <v>37852.4230399999</v>
      </c>
      <c r="AC58" s="479"/>
      <c r="AD58" s="479"/>
      <c r="AE58" s="479"/>
    </row>
    <row r="59" ht="18" spans="1:31">
      <c r="A59" s="464">
        <v>52</v>
      </c>
      <c r="B59" s="11" t="s">
        <v>165</v>
      </c>
      <c r="C59" s="467">
        <v>582746.5</v>
      </c>
      <c r="D59" s="466">
        <v>12</v>
      </c>
      <c r="E59" s="467">
        <f t="shared" si="47"/>
        <v>6992958</v>
      </c>
      <c r="F59" s="467"/>
      <c r="G59" s="468">
        <v>425036.64</v>
      </c>
      <c r="H59" s="470"/>
      <c r="I59" s="467">
        <f t="shared" si="48"/>
        <v>6567921.36</v>
      </c>
      <c r="J59" s="467">
        <v>200000</v>
      </c>
      <c r="K59" s="467">
        <v>0.2</v>
      </c>
      <c r="L59" s="467">
        <f t="shared" si="49"/>
        <v>1313584.272</v>
      </c>
      <c r="M59" s="467">
        <f t="shared" si="50"/>
        <v>1513584.272</v>
      </c>
      <c r="N59" s="467">
        <f t="shared" si="51"/>
        <v>1938620.912</v>
      </c>
      <c r="O59" s="467">
        <f t="shared" si="52"/>
        <v>5054337.088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445040.90112</v>
      </c>
      <c r="V59" s="467">
        <f t="shared" si="59"/>
        <v>1005040.90112</v>
      </c>
      <c r="W59" s="474">
        <v>12</v>
      </c>
      <c r="X59" s="467">
        <f t="shared" si="60"/>
        <v>83753.4084266666</v>
      </c>
      <c r="Y59" s="470"/>
      <c r="Z59" s="467">
        <f t="shared" si="61"/>
        <v>83753.4084266666</v>
      </c>
      <c r="AA59" s="479">
        <v>54931.2492266667</v>
      </c>
      <c r="AB59" s="479">
        <f t="shared" si="62"/>
        <v>28822.1591999999</v>
      </c>
      <c r="AC59" s="479"/>
      <c r="AD59" s="479"/>
      <c r="AE59" s="479"/>
    </row>
    <row r="60" ht="18" spans="1:31">
      <c r="A60" s="464">
        <v>53</v>
      </c>
      <c r="B60" s="18" t="s">
        <v>846</v>
      </c>
      <c r="C60" s="467">
        <v>548915.916666667</v>
      </c>
      <c r="D60" s="466">
        <v>12</v>
      </c>
      <c r="E60" s="467">
        <f t="shared" si="47"/>
        <v>6586991</v>
      </c>
      <c r="F60" s="467"/>
      <c r="G60" s="468">
        <v>411759.28</v>
      </c>
      <c r="H60" s="470"/>
      <c r="I60" s="467">
        <f t="shared" si="48"/>
        <v>6175231.72</v>
      </c>
      <c r="J60" s="467">
        <v>200000</v>
      </c>
      <c r="K60" s="467">
        <v>0.2</v>
      </c>
      <c r="L60" s="467">
        <f t="shared" si="49"/>
        <v>1235046.344</v>
      </c>
      <c r="M60" s="467">
        <f t="shared" si="50"/>
        <v>1435046.344</v>
      </c>
      <c r="N60" s="467">
        <f t="shared" si="51"/>
        <v>1846805.624</v>
      </c>
      <c r="O60" s="467">
        <f t="shared" si="52"/>
        <v>4740185.376</v>
      </c>
      <c r="P60" s="467">
        <f t="shared" si="53"/>
        <v>21000</v>
      </c>
      <c r="Q60" s="467">
        <f t="shared" si="54"/>
        <v>33000</v>
      </c>
      <c r="R60" s="467">
        <f t="shared" si="55"/>
        <v>75000</v>
      </c>
      <c r="S60" s="467">
        <f t="shared" si="56"/>
        <v>95000</v>
      </c>
      <c r="T60" s="467">
        <f t="shared" si="57"/>
        <v>336000</v>
      </c>
      <c r="U60" s="467">
        <f t="shared" si="58"/>
        <v>369644.490240001</v>
      </c>
      <c r="V60" s="467">
        <f t="shared" si="59"/>
        <v>929644.490240001</v>
      </c>
      <c r="W60" s="474">
        <v>12</v>
      </c>
      <c r="X60" s="467">
        <f t="shared" si="60"/>
        <v>77470.3741866667</v>
      </c>
      <c r="Y60" s="470"/>
      <c r="Z60" s="467">
        <f t="shared" si="61"/>
        <v>77470.3741866667</v>
      </c>
      <c r="AA60" s="479">
        <v>49548.7761866667</v>
      </c>
      <c r="AB60" s="479">
        <f t="shared" si="62"/>
        <v>27921.598</v>
      </c>
      <c r="AC60" s="479"/>
      <c r="AD60" s="479"/>
      <c r="AE60" s="479"/>
    </row>
    <row r="61" ht="18" spans="1:31">
      <c r="A61" s="464">
        <v>54</v>
      </c>
      <c r="B61" s="14" t="s">
        <v>847</v>
      </c>
      <c r="C61" s="467">
        <v>624373.75</v>
      </c>
      <c r="D61" s="466">
        <v>12</v>
      </c>
      <c r="E61" s="467">
        <f t="shared" si="47"/>
        <v>7492485</v>
      </c>
      <c r="F61" s="467"/>
      <c r="G61" s="468">
        <v>464998.8</v>
      </c>
      <c r="H61" s="470"/>
      <c r="I61" s="467">
        <f t="shared" si="48"/>
        <v>7027486.2</v>
      </c>
      <c r="J61" s="467">
        <v>200000</v>
      </c>
      <c r="K61" s="467">
        <v>0.2</v>
      </c>
      <c r="L61" s="467">
        <f t="shared" si="49"/>
        <v>1405497.24</v>
      </c>
      <c r="M61" s="467">
        <f t="shared" si="50"/>
        <v>1605497.24</v>
      </c>
      <c r="N61" s="467">
        <f t="shared" si="51"/>
        <v>2070496.04</v>
      </c>
      <c r="O61" s="467">
        <f t="shared" si="52"/>
        <v>5421988.96</v>
      </c>
      <c r="P61" s="467">
        <f t="shared" si="53"/>
        <v>21000</v>
      </c>
      <c r="Q61" s="467">
        <f t="shared" si="54"/>
        <v>33000</v>
      </c>
      <c r="R61" s="467">
        <f t="shared" si="55"/>
        <v>75000</v>
      </c>
      <c r="S61" s="467">
        <f t="shared" si="56"/>
        <v>95000</v>
      </c>
      <c r="T61" s="467">
        <f t="shared" si="57"/>
        <v>336000</v>
      </c>
      <c r="U61" s="467">
        <f t="shared" si="58"/>
        <v>533277.3504</v>
      </c>
      <c r="V61" s="467">
        <f t="shared" si="59"/>
        <v>1093277.3504</v>
      </c>
      <c r="W61" s="474">
        <v>12</v>
      </c>
      <c r="X61" s="467">
        <f t="shared" si="60"/>
        <v>91106.4458666667</v>
      </c>
      <c r="Y61" s="470"/>
      <c r="Z61" s="467">
        <f t="shared" si="61"/>
        <v>91106.4458666667</v>
      </c>
      <c r="AA61" s="479">
        <v>46666.6666666667</v>
      </c>
      <c r="AB61" s="479">
        <f t="shared" si="62"/>
        <v>44439.7792</v>
      </c>
      <c r="AC61" s="479"/>
      <c r="AD61" s="479"/>
      <c r="AE61" s="479"/>
    </row>
    <row r="62" ht="18" spans="1:31">
      <c r="A62" s="464">
        <v>55</v>
      </c>
      <c r="B62" s="11" t="s">
        <v>169</v>
      </c>
      <c r="C62" s="467">
        <v>475703.833333333</v>
      </c>
      <c r="D62" s="466">
        <v>12</v>
      </c>
      <c r="E62" s="467">
        <f t="shared" si="47"/>
        <v>5708446</v>
      </c>
      <c r="F62" s="467"/>
      <c r="G62" s="468">
        <v>351075.68</v>
      </c>
      <c r="H62" s="470"/>
      <c r="I62" s="467">
        <f t="shared" si="48"/>
        <v>5357370.32</v>
      </c>
      <c r="J62" s="467">
        <v>200000</v>
      </c>
      <c r="K62" s="467">
        <v>0.2</v>
      </c>
      <c r="L62" s="467">
        <f t="shared" si="49"/>
        <v>1071474.064</v>
      </c>
      <c r="M62" s="467">
        <f t="shared" si="50"/>
        <v>1271474.064</v>
      </c>
      <c r="N62" s="467">
        <f t="shared" si="51"/>
        <v>1622549.744</v>
      </c>
      <c r="O62" s="467">
        <f t="shared" si="52"/>
        <v>4085896.256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212615.101439999</v>
      </c>
      <c r="V62" s="467">
        <f t="shared" si="59"/>
        <v>772615.101439999</v>
      </c>
      <c r="W62" s="474">
        <v>12</v>
      </c>
      <c r="X62" s="467">
        <f t="shared" si="60"/>
        <v>64384.5917866666</v>
      </c>
      <c r="Y62" s="470"/>
      <c r="Z62" s="467">
        <f t="shared" si="61"/>
        <v>64384.5917866666</v>
      </c>
      <c r="AA62" s="479">
        <v>41338.9510986667</v>
      </c>
      <c r="AB62" s="479">
        <f t="shared" si="62"/>
        <v>23045.6406879999</v>
      </c>
      <c r="AC62" s="479"/>
      <c r="AD62" s="479"/>
      <c r="AE62" s="479"/>
    </row>
    <row r="63" ht="18" spans="1:31">
      <c r="A63" s="464">
        <v>56</v>
      </c>
      <c r="B63" s="11" t="s">
        <v>171</v>
      </c>
      <c r="C63" s="467">
        <v>475703.833333333</v>
      </c>
      <c r="D63" s="466">
        <v>12</v>
      </c>
      <c r="E63" s="467">
        <f t="shared" si="47"/>
        <v>5708446</v>
      </c>
      <c r="F63" s="467"/>
      <c r="G63" s="468">
        <v>351075.68</v>
      </c>
      <c r="H63" s="470"/>
      <c r="I63" s="467">
        <f t="shared" si="48"/>
        <v>5357370.32</v>
      </c>
      <c r="J63" s="467">
        <v>200000</v>
      </c>
      <c r="K63" s="467">
        <v>0.2</v>
      </c>
      <c r="L63" s="467">
        <f t="shared" si="49"/>
        <v>1071474.064</v>
      </c>
      <c r="M63" s="467">
        <f t="shared" si="50"/>
        <v>1271474.064</v>
      </c>
      <c r="N63" s="467">
        <f t="shared" si="51"/>
        <v>1622549.744</v>
      </c>
      <c r="O63" s="467">
        <f t="shared" si="52"/>
        <v>4085896.256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212615.101439999</v>
      </c>
      <c r="V63" s="467">
        <f t="shared" si="59"/>
        <v>772615.101439999</v>
      </c>
      <c r="W63" s="474">
        <v>12</v>
      </c>
      <c r="X63" s="467">
        <f t="shared" si="60"/>
        <v>64384.5917866666</v>
      </c>
      <c r="Y63" s="470"/>
      <c r="Z63" s="467">
        <f t="shared" si="61"/>
        <v>64384.5917866666</v>
      </c>
      <c r="AA63" s="479">
        <v>41338.9510986667</v>
      </c>
      <c r="AB63" s="479">
        <f t="shared" si="62"/>
        <v>23045.6406879999</v>
      </c>
      <c r="AC63" s="479"/>
      <c r="AD63" s="479"/>
      <c r="AE63" s="479"/>
    </row>
    <row r="64" ht="18" spans="1:31">
      <c r="A64" s="464">
        <v>57</v>
      </c>
      <c r="B64" s="11" t="s">
        <v>172</v>
      </c>
      <c r="C64" s="467">
        <v>475703.833333333</v>
      </c>
      <c r="D64" s="466">
        <v>12</v>
      </c>
      <c r="E64" s="467">
        <f t="shared" si="47"/>
        <v>5708446</v>
      </c>
      <c r="F64" s="467"/>
      <c r="G64" s="468">
        <v>351075.68</v>
      </c>
      <c r="H64" s="470"/>
      <c r="I64" s="467">
        <f t="shared" si="48"/>
        <v>5357370.32</v>
      </c>
      <c r="J64" s="467">
        <v>200000</v>
      </c>
      <c r="K64" s="467">
        <v>0.2</v>
      </c>
      <c r="L64" s="467">
        <f t="shared" si="49"/>
        <v>1071474.064</v>
      </c>
      <c r="M64" s="467">
        <f t="shared" si="50"/>
        <v>1271474.064</v>
      </c>
      <c r="N64" s="467">
        <f t="shared" si="51"/>
        <v>1622549.744</v>
      </c>
      <c r="O64" s="467">
        <f t="shared" si="52"/>
        <v>4085896.256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212615.101439999</v>
      </c>
      <c r="V64" s="467">
        <f t="shared" si="59"/>
        <v>772615.101439999</v>
      </c>
      <c r="W64" s="474">
        <v>12</v>
      </c>
      <c r="X64" s="467">
        <f t="shared" si="60"/>
        <v>64384.5917866666</v>
      </c>
      <c r="Y64" s="470"/>
      <c r="Z64" s="467">
        <f t="shared" si="61"/>
        <v>64384.5917866666</v>
      </c>
      <c r="AA64" s="479">
        <v>41338.9510986667</v>
      </c>
      <c r="AB64" s="479">
        <f t="shared" si="62"/>
        <v>23045.6406879999</v>
      </c>
      <c r="AC64" s="479"/>
      <c r="AD64" s="479"/>
      <c r="AE64" s="479"/>
    </row>
    <row r="65" ht="18" spans="1:31">
      <c r="A65" s="464">
        <v>58</v>
      </c>
      <c r="B65" s="11" t="s">
        <v>173</v>
      </c>
      <c r="C65" s="467">
        <v>487895.166666667</v>
      </c>
      <c r="D65" s="466">
        <v>12</v>
      </c>
      <c r="E65" s="467">
        <f t="shared" si="47"/>
        <v>5854742</v>
      </c>
      <c r="F65" s="467"/>
      <c r="G65" s="468">
        <v>362779.36</v>
      </c>
      <c r="H65" s="470"/>
      <c r="I65" s="467">
        <f t="shared" si="48"/>
        <v>5491962.64</v>
      </c>
      <c r="J65" s="467">
        <v>200000</v>
      </c>
      <c r="K65" s="467">
        <v>0.2</v>
      </c>
      <c r="L65" s="467">
        <f t="shared" si="49"/>
        <v>1098392.528</v>
      </c>
      <c r="M65" s="467">
        <f t="shared" si="50"/>
        <v>1298392.528</v>
      </c>
      <c r="N65" s="467">
        <f t="shared" si="51"/>
        <v>1661171.888</v>
      </c>
      <c r="O65" s="467">
        <f t="shared" si="52"/>
        <v>4193570.112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238456.826880001</v>
      </c>
      <c r="V65" s="467">
        <f t="shared" si="59"/>
        <v>798456.826880001</v>
      </c>
      <c r="W65" s="474">
        <v>12</v>
      </c>
      <c r="X65" s="467">
        <f t="shared" si="60"/>
        <v>66538.0689066667</v>
      </c>
      <c r="Y65" s="470"/>
      <c r="Z65" s="467">
        <f t="shared" si="61"/>
        <v>66538.0689066667</v>
      </c>
      <c r="AA65" s="479">
        <v>43368.8824146667</v>
      </c>
      <c r="AB65" s="479">
        <f t="shared" si="62"/>
        <v>23169.186492</v>
      </c>
      <c r="AC65" s="479"/>
      <c r="AD65" s="479"/>
      <c r="AE65" s="479"/>
    </row>
    <row r="66" ht="18" spans="1:31">
      <c r="A66" s="464">
        <v>59</v>
      </c>
      <c r="B66" s="11" t="s">
        <v>177</v>
      </c>
      <c r="C66" s="467">
        <v>400965.583333333</v>
      </c>
      <c r="D66" s="466">
        <v>12</v>
      </c>
      <c r="E66" s="467">
        <f t="shared" si="47"/>
        <v>4811587</v>
      </c>
      <c r="F66" s="467"/>
      <c r="G66" s="472">
        <v>288926.96</v>
      </c>
      <c r="H66" s="470"/>
      <c r="I66" s="467">
        <f t="shared" si="48"/>
        <v>4522660.04</v>
      </c>
      <c r="J66" s="467">
        <v>200000</v>
      </c>
      <c r="K66" s="467">
        <v>0.2</v>
      </c>
      <c r="L66" s="467">
        <f t="shared" si="49"/>
        <v>904532.007999999</v>
      </c>
      <c r="M66" s="467">
        <f t="shared" si="50"/>
        <v>1104532.008</v>
      </c>
      <c r="N66" s="467">
        <f t="shared" si="51"/>
        <v>1393458.968</v>
      </c>
      <c r="O66" s="467">
        <f t="shared" si="52"/>
        <v>3418128.032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52350.7276799992</v>
      </c>
      <c r="V66" s="467">
        <f t="shared" si="59"/>
        <v>612350.727679999</v>
      </c>
      <c r="W66" s="474">
        <v>12</v>
      </c>
      <c r="X66" s="467">
        <f t="shared" si="60"/>
        <v>51029.2273066666</v>
      </c>
      <c r="Y66" s="470"/>
      <c r="Z66" s="467">
        <f t="shared" si="61"/>
        <v>51029.2273066666</v>
      </c>
      <c r="AA66" s="479">
        <v>33825.9865626667</v>
      </c>
      <c r="AB66" s="479">
        <f t="shared" si="62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181</v>
      </c>
      <c r="C70" s="467">
        <v>1635720</v>
      </c>
      <c r="D70" s="466">
        <v>12</v>
      </c>
      <c r="E70" s="467">
        <f t="shared" ref="E70:E76" si="63">C70*D70</f>
        <v>19628640</v>
      </c>
      <c r="F70" s="467"/>
      <c r="G70" s="468">
        <v>1378291.2</v>
      </c>
      <c r="H70" s="470"/>
      <c r="I70" s="467">
        <f t="shared" ref="I70:I76" si="64">E70-F70-G70-H70</f>
        <v>18250348.8</v>
      </c>
      <c r="J70" s="467">
        <v>200000</v>
      </c>
      <c r="K70" s="467">
        <v>0.2</v>
      </c>
      <c r="L70" s="467">
        <f t="shared" ref="L70:L76" si="65">I70*K70</f>
        <v>3650069.76</v>
      </c>
      <c r="M70" s="467">
        <f t="shared" ref="M70:M76" si="66">J70+L70</f>
        <v>3850069.76</v>
      </c>
      <c r="N70" s="467">
        <f t="shared" ref="N70:N76" si="67">F70+G70+H70+M70</f>
        <v>5228360.96</v>
      </c>
      <c r="O70" s="467">
        <f t="shared" ref="O70:O76" si="68">E70-N70</f>
        <v>14400279.04</v>
      </c>
      <c r="P70" s="467">
        <f t="shared" ref="P70:P76" si="69">IF(O70&lt;300000,0.07*O70,21000)</f>
        <v>21000</v>
      </c>
      <c r="Q70" s="467">
        <f t="shared" ref="Q70:Q76" si="70">IF((O70-300000)&lt;0,0,IF((O70-300000)&lt;300000,0.11*(O70-300000),33000))</f>
        <v>33000</v>
      </c>
      <c r="R70" s="467">
        <f t="shared" ref="R70:R76" si="71">IF((O70-600000)&lt;0,0,IF((O70-600000)&lt;500000,0.15*(O70-600000),75000))</f>
        <v>75000</v>
      </c>
      <c r="S70" s="467">
        <f t="shared" ref="S70:S76" si="72">IF((O70-1100000)&lt;0,0,IF((O70-1100000)&lt;500000,0.19*(O70-1100000),95000))</f>
        <v>95000</v>
      </c>
      <c r="T70" s="467">
        <f t="shared" ref="T70:T76" si="73">IF((O70-1600000)&lt;0,0,IF((O70-1600000)&lt;1600000,0.21*(O70-1600000),336000))</f>
        <v>336000</v>
      </c>
      <c r="U70" s="467">
        <f t="shared" ref="U70:U73" si="74">24%*(O70-3200000)</f>
        <v>2688066.9696</v>
      </c>
      <c r="V70" s="467">
        <f t="shared" ref="V70:V76" si="75">P70+Q70+R70+S70+T70+U70</f>
        <v>3248066.9696</v>
      </c>
      <c r="W70" s="474">
        <v>12</v>
      </c>
      <c r="X70" s="467">
        <f t="shared" ref="X70:X76" si="76">V70/W70</f>
        <v>270672.247466667</v>
      </c>
      <c r="Y70" s="470"/>
      <c r="Z70" s="467">
        <f t="shared" ref="Z70:Z76" si="77">X70</f>
        <v>270672.247466667</v>
      </c>
      <c r="AA70" s="479">
        <v>180306.806858667</v>
      </c>
      <c r="AB70" s="479">
        <f t="shared" ref="AB70:AB76" si="78"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848</v>
      </c>
      <c r="C71" s="467">
        <v>761396.833333333</v>
      </c>
      <c r="D71" s="466">
        <v>12</v>
      </c>
      <c r="E71" s="467">
        <f t="shared" si="63"/>
        <v>9136762</v>
      </c>
      <c r="F71" s="467"/>
      <c r="G71" s="468">
        <v>0</v>
      </c>
      <c r="H71" s="470"/>
      <c r="I71" s="467">
        <f t="shared" si="64"/>
        <v>9136762</v>
      </c>
      <c r="J71" s="467">
        <v>200000</v>
      </c>
      <c r="K71" s="467">
        <v>0.2</v>
      </c>
      <c r="L71" s="467">
        <f t="shared" si="65"/>
        <v>1827352.4</v>
      </c>
      <c r="M71" s="467">
        <f t="shared" si="66"/>
        <v>2027352.4</v>
      </c>
      <c r="N71" s="467">
        <f t="shared" si="67"/>
        <v>2027352.4</v>
      </c>
      <c r="O71" s="467">
        <f t="shared" si="68"/>
        <v>7109409.6</v>
      </c>
      <c r="P71" s="467">
        <f t="shared" si="69"/>
        <v>21000</v>
      </c>
      <c r="Q71" s="467">
        <f t="shared" si="70"/>
        <v>33000</v>
      </c>
      <c r="R71" s="467">
        <f t="shared" si="71"/>
        <v>75000</v>
      </c>
      <c r="S71" s="467">
        <f t="shared" si="72"/>
        <v>95000</v>
      </c>
      <c r="T71" s="467">
        <f t="shared" si="73"/>
        <v>336000</v>
      </c>
      <c r="U71" s="467">
        <f t="shared" si="74"/>
        <v>938258.303999999</v>
      </c>
      <c r="V71" s="467">
        <f t="shared" si="75"/>
        <v>1498258.304</v>
      </c>
      <c r="W71" s="474">
        <v>12</v>
      </c>
      <c r="X71" s="467">
        <f t="shared" si="76"/>
        <v>124854.858666667</v>
      </c>
      <c r="Y71" s="470"/>
      <c r="Z71" s="467">
        <f t="shared" si="77"/>
        <v>124854.858666667</v>
      </c>
      <c r="AA71" s="479">
        <v>77764.9802666667</v>
      </c>
      <c r="AB71" s="479">
        <f t="shared" si="78"/>
        <v>47089.8783999999</v>
      </c>
      <c r="AC71" s="479"/>
      <c r="AD71" s="479"/>
      <c r="AE71" s="479"/>
    </row>
    <row r="72" ht="36" spans="1:31">
      <c r="A72" s="464">
        <v>63</v>
      </c>
      <c r="B72" s="18" t="s">
        <v>183</v>
      </c>
      <c r="C72" s="467">
        <f>700675.583333333+80000</f>
        <v>780675.583333333</v>
      </c>
      <c r="D72" s="466">
        <v>12</v>
      </c>
      <c r="E72" s="467">
        <f t="shared" si="63"/>
        <v>9368107</v>
      </c>
      <c r="F72" s="467"/>
      <c r="G72" s="468">
        <v>0</v>
      </c>
      <c r="H72" s="470"/>
      <c r="I72" s="467">
        <f t="shared" si="64"/>
        <v>9368107</v>
      </c>
      <c r="J72" s="467">
        <v>200000</v>
      </c>
      <c r="K72" s="467">
        <v>0.2</v>
      </c>
      <c r="L72" s="467">
        <f t="shared" si="65"/>
        <v>1873621.4</v>
      </c>
      <c r="M72" s="467">
        <f t="shared" si="66"/>
        <v>2073621.4</v>
      </c>
      <c r="N72" s="467">
        <f t="shared" si="67"/>
        <v>2073621.4</v>
      </c>
      <c r="O72" s="467">
        <f t="shared" si="68"/>
        <v>7294485.6</v>
      </c>
      <c r="P72" s="467">
        <f t="shared" si="69"/>
        <v>21000</v>
      </c>
      <c r="Q72" s="467">
        <f t="shared" si="70"/>
        <v>33000</v>
      </c>
      <c r="R72" s="467">
        <f t="shared" si="71"/>
        <v>75000</v>
      </c>
      <c r="S72" s="467">
        <f t="shared" si="72"/>
        <v>95000</v>
      </c>
      <c r="T72" s="467">
        <f t="shared" si="73"/>
        <v>336000</v>
      </c>
      <c r="U72" s="467">
        <f t="shared" si="74"/>
        <v>982676.543999999</v>
      </c>
      <c r="V72" s="467">
        <f t="shared" si="75"/>
        <v>1542676.544</v>
      </c>
      <c r="W72" s="474">
        <v>12</v>
      </c>
      <c r="X72" s="467">
        <f t="shared" si="76"/>
        <v>128556.378666667</v>
      </c>
      <c r="Y72" s="470"/>
      <c r="Z72" s="467">
        <f t="shared" si="77"/>
        <v>128556.378666667</v>
      </c>
      <c r="AA72" s="479">
        <v>64596.9391466667</v>
      </c>
      <c r="AB72" s="479">
        <f t="shared" si="78"/>
        <v>63959.4395199999</v>
      </c>
      <c r="AC72" s="479"/>
      <c r="AD72" s="479"/>
      <c r="AE72" s="479"/>
    </row>
    <row r="73" ht="18" spans="1:31">
      <c r="A73" s="464">
        <v>64</v>
      </c>
      <c r="B73" s="11" t="s">
        <v>187</v>
      </c>
      <c r="C73" s="467">
        <v>596622.25</v>
      </c>
      <c r="D73" s="466">
        <v>12</v>
      </c>
      <c r="E73" s="467">
        <f t="shared" si="63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64"/>
        <v>6713089.845</v>
      </c>
      <c r="J73" s="467">
        <v>200000</v>
      </c>
      <c r="K73" s="467">
        <v>0.2</v>
      </c>
      <c r="L73" s="467">
        <f t="shared" si="65"/>
        <v>1342617.969</v>
      </c>
      <c r="M73" s="467">
        <f t="shared" si="66"/>
        <v>1542617.969</v>
      </c>
      <c r="N73" s="467">
        <f t="shared" si="67"/>
        <v>1988995.124</v>
      </c>
      <c r="O73" s="467">
        <f t="shared" si="68"/>
        <v>5170471.876</v>
      </c>
      <c r="P73" s="467">
        <f t="shared" si="69"/>
        <v>21000</v>
      </c>
      <c r="Q73" s="467">
        <f t="shared" si="70"/>
        <v>33000</v>
      </c>
      <c r="R73" s="467">
        <f t="shared" si="71"/>
        <v>75000</v>
      </c>
      <c r="S73" s="467">
        <f t="shared" si="72"/>
        <v>95000</v>
      </c>
      <c r="T73" s="467">
        <f t="shared" si="73"/>
        <v>336000</v>
      </c>
      <c r="U73" s="467">
        <f t="shared" si="74"/>
        <v>472913.25024</v>
      </c>
      <c r="V73" s="467">
        <f t="shared" si="75"/>
        <v>1032913.25024</v>
      </c>
      <c r="W73" s="474">
        <v>12</v>
      </c>
      <c r="X73" s="467">
        <f t="shared" si="76"/>
        <v>86076.1041866667</v>
      </c>
      <c r="Y73" s="470"/>
      <c r="Z73" s="467">
        <f t="shared" si="77"/>
        <v>86076.1041866667</v>
      </c>
      <c r="AA73" s="479">
        <v>56350.5861866667</v>
      </c>
      <c r="AB73" s="479">
        <f t="shared" si="78"/>
        <v>29725.518</v>
      </c>
      <c r="AC73" s="479"/>
      <c r="AD73" s="479"/>
      <c r="AE73" s="479"/>
    </row>
    <row r="74" ht="18" spans="1:31">
      <c r="A74" s="464">
        <v>65</v>
      </c>
      <c r="B74" s="11" t="s">
        <v>194</v>
      </c>
      <c r="C74" s="467">
        <v>408901.5</v>
      </c>
      <c r="D74" s="466">
        <v>12</v>
      </c>
      <c r="E74" s="467">
        <f t="shared" si="63"/>
        <v>4906818</v>
      </c>
      <c r="F74" s="467"/>
      <c r="G74" s="468">
        <v>296545.44</v>
      </c>
      <c r="H74" s="470"/>
      <c r="I74" s="467">
        <f t="shared" si="64"/>
        <v>4610272.56</v>
      </c>
      <c r="J74" s="467">
        <v>200000</v>
      </c>
      <c r="K74" s="467">
        <v>0.2</v>
      </c>
      <c r="L74" s="467">
        <f t="shared" si="65"/>
        <v>922054.512</v>
      </c>
      <c r="M74" s="467">
        <f t="shared" si="66"/>
        <v>1122054.512</v>
      </c>
      <c r="N74" s="467">
        <f t="shared" si="67"/>
        <v>1418599.952</v>
      </c>
      <c r="O74" s="467">
        <f t="shared" si="68"/>
        <v>3488218.048</v>
      </c>
      <c r="P74" s="467">
        <f t="shared" si="69"/>
        <v>21000</v>
      </c>
      <c r="Q74" s="467">
        <f t="shared" si="70"/>
        <v>33000</v>
      </c>
      <c r="R74" s="467">
        <f t="shared" si="71"/>
        <v>75000</v>
      </c>
      <c r="S74" s="467">
        <f t="shared" si="72"/>
        <v>95000</v>
      </c>
      <c r="T74" s="467">
        <f t="shared" si="73"/>
        <v>336000</v>
      </c>
      <c r="U74" s="467">
        <f>0.24*(O74-3200000)</f>
        <v>69172.33152</v>
      </c>
      <c r="V74" s="467">
        <f t="shared" si="75"/>
        <v>629172.33152</v>
      </c>
      <c r="W74" s="474">
        <v>12</v>
      </c>
      <c r="X74" s="467">
        <f t="shared" si="76"/>
        <v>52431.0276266667</v>
      </c>
      <c r="Y74" s="470"/>
      <c r="Z74" s="467">
        <f t="shared" si="77"/>
        <v>52431.0276266667</v>
      </c>
      <c r="AA74" s="479">
        <v>17507.5489666667</v>
      </c>
      <c r="AB74" s="479">
        <f t="shared" si="78"/>
        <v>34923.47866</v>
      </c>
      <c r="AC74" s="479"/>
      <c r="AD74" s="479"/>
      <c r="AE74" s="479"/>
    </row>
    <row r="75" ht="24.75" customHeight="1" spans="1:31">
      <c r="A75" s="464"/>
      <c r="B75" s="11" t="s">
        <v>198</v>
      </c>
      <c r="C75" s="467">
        <v>363165.333333333</v>
      </c>
      <c r="D75" s="466">
        <v>12</v>
      </c>
      <c r="E75" s="467">
        <f t="shared" si="63"/>
        <v>4357984</v>
      </c>
      <c r="F75" s="467"/>
      <c r="G75" s="468">
        <v>252638.72</v>
      </c>
      <c r="H75" s="470"/>
      <c r="I75" s="467">
        <f t="shared" si="64"/>
        <v>4105345.28</v>
      </c>
      <c r="J75" s="467">
        <v>200000</v>
      </c>
      <c r="K75" s="467">
        <v>0.2</v>
      </c>
      <c r="L75" s="467">
        <f t="shared" si="65"/>
        <v>821069.055999999</v>
      </c>
      <c r="M75" s="467">
        <f t="shared" si="66"/>
        <v>1021069.056</v>
      </c>
      <c r="N75" s="467">
        <f t="shared" si="67"/>
        <v>1273707.776</v>
      </c>
      <c r="O75" s="467">
        <f t="shared" si="68"/>
        <v>3084276.224</v>
      </c>
      <c r="P75" s="467">
        <f t="shared" si="69"/>
        <v>21000</v>
      </c>
      <c r="Q75" s="467">
        <f t="shared" si="70"/>
        <v>33000</v>
      </c>
      <c r="R75" s="467">
        <f t="shared" si="71"/>
        <v>75000</v>
      </c>
      <c r="S75" s="467">
        <f t="shared" si="72"/>
        <v>95000</v>
      </c>
      <c r="T75" s="467">
        <f t="shared" si="73"/>
        <v>311698.007039999</v>
      </c>
      <c r="U75" s="467"/>
      <c r="V75" s="467">
        <f t="shared" si="75"/>
        <v>535698.007039999</v>
      </c>
      <c r="W75" s="474">
        <v>12</v>
      </c>
      <c r="X75" s="467">
        <f t="shared" si="76"/>
        <v>44641.5005866666</v>
      </c>
      <c r="Y75" s="470"/>
      <c r="Z75" s="467">
        <f t="shared" si="77"/>
        <v>44641.5005866666</v>
      </c>
      <c r="AA75" s="479">
        <v>29058.4826046667</v>
      </c>
      <c r="AB75" s="479">
        <f t="shared" si="78"/>
        <v>15583.0179819999</v>
      </c>
      <c r="AC75" s="479"/>
      <c r="AD75" s="479"/>
      <c r="AE75" s="479"/>
    </row>
    <row r="76" ht="18" spans="1:31">
      <c r="A76" s="464"/>
      <c r="B76" s="11" t="s">
        <v>200</v>
      </c>
      <c r="C76" s="467">
        <v>324459.75</v>
      </c>
      <c r="D76" s="466">
        <v>12</v>
      </c>
      <c r="E76" s="467">
        <f t="shared" si="63"/>
        <v>3893517</v>
      </c>
      <c r="F76" s="467"/>
      <c r="G76" s="468">
        <v>215481.36</v>
      </c>
      <c r="H76" s="470"/>
      <c r="I76" s="467">
        <f t="shared" si="64"/>
        <v>3678035.64</v>
      </c>
      <c r="J76" s="467">
        <v>200000</v>
      </c>
      <c r="K76" s="467">
        <v>0.2</v>
      </c>
      <c r="L76" s="467">
        <f t="shared" si="65"/>
        <v>735607.128</v>
      </c>
      <c r="M76" s="467">
        <f t="shared" si="66"/>
        <v>935607.128</v>
      </c>
      <c r="N76" s="467">
        <f t="shared" si="67"/>
        <v>1151088.488</v>
      </c>
      <c r="O76" s="467">
        <f t="shared" si="68"/>
        <v>2742428.512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239909.98752</v>
      </c>
      <c r="U76" s="467"/>
      <c r="V76" s="467">
        <f t="shared" si="75"/>
        <v>463909.98752</v>
      </c>
      <c r="W76" s="474">
        <v>12</v>
      </c>
      <c r="X76" s="467">
        <f t="shared" si="76"/>
        <v>38659.1656266667</v>
      </c>
      <c r="Y76" s="470"/>
      <c r="Z76" s="467">
        <f t="shared" si="77"/>
        <v>38659.1656266667</v>
      </c>
      <c r="AA76" s="479">
        <v>24751.1704626667</v>
      </c>
      <c r="AB76" s="479">
        <f t="shared" si="78"/>
        <v>13907.995164</v>
      </c>
      <c r="AC76" s="479"/>
      <c r="AD76" s="479"/>
      <c r="AE76" s="479"/>
    </row>
    <row r="77" ht="17.5" spans="1:31">
      <c r="A77" s="464"/>
      <c r="B77" s="20" t="s">
        <v>120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202</v>
      </c>
      <c r="C79" s="467"/>
      <c r="AB79" s="296" t="s">
        <v>937</v>
      </c>
      <c r="AC79" s="479"/>
      <c r="AD79" s="479"/>
      <c r="AE79" s="479"/>
    </row>
    <row r="80" ht="18" spans="1:31">
      <c r="A80" s="464">
        <v>68</v>
      </c>
      <c r="B80" s="11" t="s">
        <v>205</v>
      </c>
      <c r="C80" s="467">
        <v>1096034</v>
      </c>
      <c r="D80" s="466">
        <v>12</v>
      </c>
      <c r="E80" s="467">
        <f t="shared" ref="E80:E89" si="79">C80*D80</f>
        <v>13152408</v>
      </c>
      <c r="F80" s="467"/>
      <c r="G80" s="468">
        <v>709635.44</v>
      </c>
      <c r="H80" s="470"/>
      <c r="I80" s="467">
        <f t="shared" ref="I80:I89" si="80">E80-F80-G80-H80</f>
        <v>12442772.56</v>
      </c>
      <c r="J80" s="467">
        <v>200000</v>
      </c>
      <c r="K80" s="467">
        <v>0.2</v>
      </c>
      <c r="L80" s="467">
        <f t="shared" ref="L80:L89" si="81">I80*K80</f>
        <v>2488554.512</v>
      </c>
      <c r="M80" s="467">
        <f t="shared" ref="M80:M89" si="82">J80+L80</f>
        <v>2688554.512</v>
      </c>
      <c r="N80" s="467">
        <f t="shared" ref="N80:N89" si="83">F80+G80+H80+M80</f>
        <v>3398189.952</v>
      </c>
      <c r="O80" s="467">
        <f t="shared" ref="O80:O89" si="84">E80-N80</f>
        <v>9754218.048</v>
      </c>
      <c r="P80" s="467">
        <f t="shared" ref="P80:P89" si="85">IF(O80&lt;300000,0.07*O80,21000)</f>
        <v>21000</v>
      </c>
      <c r="Q80" s="467">
        <f t="shared" ref="Q80:Q89" si="86">IF((O80-300000)&lt;0,0,IF((O80-300000)&lt;300000,0.11*(O80-300000),33000))</f>
        <v>33000</v>
      </c>
      <c r="R80" s="467">
        <f t="shared" ref="R80:R89" si="87">IF((O80-600000)&lt;0,0,IF((O80-600000)&lt;500000,0.15*(O80-600000),75000))</f>
        <v>75000</v>
      </c>
      <c r="S80" s="467">
        <f t="shared" ref="S80:S89" si="88">IF((O80-1100000)&lt;0,0,IF((O80-1100000)&lt;500000,0.19*(O80-1100000),95000))</f>
        <v>95000</v>
      </c>
      <c r="T80" s="467">
        <f t="shared" ref="T80:T89" si="89">IF((O80-1600000)&lt;0,0,IF((O80-1600000)&lt;1600000,0.21*(O80-1600000),336000))</f>
        <v>336000</v>
      </c>
      <c r="U80" s="467">
        <f t="shared" ref="U80:U88" si="90">24%*(O80-3200000)</f>
        <v>1573012.33152</v>
      </c>
      <c r="V80" s="467">
        <f t="shared" ref="V80:V89" si="91">P80+Q80+R80+S80+T80+U80</f>
        <v>2133012.33152</v>
      </c>
      <c r="W80" s="474">
        <v>12</v>
      </c>
      <c r="X80" s="467">
        <f t="shared" ref="X80:X89" si="92">V80/W80</f>
        <v>177751.027626667</v>
      </c>
      <c r="Y80" s="470"/>
      <c r="Z80" s="467">
        <f t="shared" ref="Z80:Z89" si="93">X80</f>
        <v>177751.027626667</v>
      </c>
      <c r="AA80" s="467">
        <v>99156.9391466667</v>
      </c>
      <c r="AB80" s="479">
        <f t="shared" ref="AB80:AB89" si="94">Z80-AA80</f>
        <v>78594.08848</v>
      </c>
      <c r="AC80" s="479" t="s">
        <v>205</v>
      </c>
      <c r="AD80" s="479"/>
      <c r="AE80" s="479"/>
    </row>
    <row r="81" ht="18" spans="1:31">
      <c r="A81" s="464">
        <v>69</v>
      </c>
      <c r="B81" s="11" t="s">
        <v>203</v>
      </c>
      <c r="C81" s="616">
        <v>1552042.66666667</v>
      </c>
      <c r="D81" s="466">
        <v>12</v>
      </c>
      <c r="E81" s="467">
        <f t="shared" si="79"/>
        <v>18624512</v>
      </c>
      <c r="F81" s="467">
        <f>18254.975*12</f>
        <v>219059.7</v>
      </c>
      <c r="G81" s="468">
        <f>114857.6*12</f>
        <v>1378291.2</v>
      </c>
      <c r="H81" s="470"/>
      <c r="I81" s="467">
        <f t="shared" si="80"/>
        <v>17027161.1</v>
      </c>
      <c r="J81" s="467">
        <v>200000</v>
      </c>
      <c r="K81" s="467">
        <v>0.2</v>
      </c>
      <c r="L81" s="467">
        <f t="shared" si="81"/>
        <v>3405432.22</v>
      </c>
      <c r="M81" s="467">
        <f t="shared" si="82"/>
        <v>3605432.22</v>
      </c>
      <c r="N81" s="467">
        <f t="shared" si="83"/>
        <v>5202783.12</v>
      </c>
      <c r="O81" s="467">
        <f t="shared" si="84"/>
        <v>13421728.88</v>
      </c>
      <c r="P81" s="467">
        <f t="shared" si="85"/>
        <v>21000</v>
      </c>
      <c r="Q81" s="467">
        <f t="shared" si="86"/>
        <v>33000</v>
      </c>
      <c r="R81" s="467">
        <f t="shared" si="87"/>
        <v>75000</v>
      </c>
      <c r="S81" s="467">
        <f t="shared" si="88"/>
        <v>95000</v>
      </c>
      <c r="T81" s="467">
        <f t="shared" si="89"/>
        <v>336000</v>
      </c>
      <c r="U81" s="467">
        <f t="shared" si="90"/>
        <v>2453214.9312</v>
      </c>
      <c r="V81" s="467">
        <f t="shared" si="91"/>
        <v>3013214.9312</v>
      </c>
      <c r="W81" s="474">
        <v>12</v>
      </c>
      <c r="X81" s="467">
        <f t="shared" si="92"/>
        <v>251101.244266667</v>
      </c>
      <c r="Y81" s="470"/>
      <c r="Z81" s="467">
        <f t="shared" si="93"/>
        <v>251101.244266667</v>
      </c>
      <c r="AA81" s="467">
        <v>98996.1031466667</v>
      </c>
      <c r="AB81" s="479">
        <f t="shared" si="94"/>
        <v>152105.14112</v>
      </c>
      <c r="AC81" s="479" t="s">
        <v>203</v>
      </c>
      <c r="AD81" s="479"/>
      <c r="AE81" s="479"/>
    </row>
    <row r="82" ht="36" spans="1:31">
      <c r="A82" s="464">
        <v>70</v>
      </c>
      <c r="B82" s="11" t="s">
        <v>208</v>
      </c>
      <c r="C82" s="467">
        <v>587895.166666667</v>
      </c>
      <c r="D82" s="466">
        <v>12</v>
      </c>
      <c r="E82" s="467">
        <f t="shared" si="79"/>
        <v>7054742</v>
      </c>
      <c r="F82" s="467"/>
      <c r="G82" s="468">
        <v>558833.36</v>
      </c>
      <c r="H82" s="470"/>
      <c r="I82" s="467">
        <f t="shared" si="80"/>
        <v>6495908.64</v>
      </c>
      <c r="J82" s="467">
        <v>200000</v>
      </c>
      <c r="K82" s="467">
        <v>0.2</v>
      </c>
      <c r="L82" s="467">
        <f t="shared" si="81"/>
        <v>1299181.728</v>
      </c>
      <c r="M82" s="467">
        <f t="shared" si="82"/>
        <v>1499181.728</v>
      </c>
      <c r="N82" s="467">
        <f t="shared" si="83"/>
        <v>2058015.088</v>
      </c>
      <c r="O82" s="467">
        <f t="shared" si="84"/>
        <v>4996726.912</v>
      </c>
      <c r="P82" s="467">
        <f t="shared" si="85"/>
        <v>21000</v>
      </c>
      <c r="Q82" s="467">
        <f t="shared" si="86"/>
        <v>33000</v>
      </c>
      <c r="R82" s="467">
        <f t="shared" si="87"/>
        <v>75000</v>
      </c>
      <c r="S82" s="467">
        <f t="shared" si="88"/>
        <v>95000</v>
      </c>
      <c r="T82" s="467">
        <f t="shared" si="89"/>
        <v>336000</v>
      </c>
      <c r="U82" s="467">
        <f t="shared" si="90"/>
        <v>431214.458880001</v>
      </c>
      <c r="V82" s="467">
        <f t="shared" si="91"/>
        <v>991214.458880001</v>
      </c>
      <c r="W82" s="474">
        <v>12</v>
      </c>
      <c r="X82" s="467">
        <f t="shared" si="92"/>
        <v>82601.2049066667</v>
      </c>
      <c r="Y82" s="470"/>
      <c r="Z82" s="467">
        <f t="shared" si="93"/>
        <v>82601.2049066667</v>
      </c>
      <c r="AA82" s="467">
        <v>79956.9391466667</v>
      </c>
      <c r="AB82" s="479">
        <f t="shared" si="94"/>
        <v>2644.26576000001</v>
      </c>
      <c r="AC82" s="479" t="s">
        <v>208</v>
      </c>
      <c r="AD82" s="479"/>
      <c r="AE82" s="479"/>
    </row>
    <row r="83" ht="18" spans="1:31">
      <c r="A83" s="464">
        <v>71</v>
      </c>
      <c r="B83" s="11" t="s">
        <v>209</v>
      </c>
      <c r="C83" s="467">
        <v>582746.5</v>
      </c>
      <c r="D83" s="466">
        <v>12</v>
      </c>
      <c r="E83" s="467">
        <f t="shared" si="79"/>
        <v>6992958</v>
      </c>
      <c r="F83" s="467"/>
      <c r="G83" s="468">
        <v>424132.72</v>
      </c>
      <c r="H83" s="470"/>
      <c r="I83" s="467">
        <f t="shared" si="80"/>
        <v>6568825.28</v>
      </c>
      <c r="J83" s="467">
        <v>200000</v>
      </c>
      <c r="K83" s="467">
        <v>0.2</v>
      </c>
      <c r="L83" s="467">
        <f t="shared" si="81"/>
        <v>1313765.056</v>
      </c>
      <c r="M83" s="467">
        <f t="shared" si="82"/>
        <v>1513765.056</v>
      </c>
      <c r="N83" s="467">
        <f t="shared" si="83"/>
        <v>1937897.776</v>
      </c>
      <c r="O83" s="467">
        <f t="shared" si="84"/>
        <v>5055060.224</v>
      </c>
      <c r="P83" s="467">
        <f t="shared" si="85"/>
        <v>21000</v>
      </c>
      <c r="Q83" s="467">
        <f t="shared" si="86"/>
        <v>33000</v>
      </c>
      <c r="R83" s="467">
        <f t="shared" si="87"/>
        <v>75000</v>
      </c>
      <c r="S83" s="467">
        <f t="shared" si="88"/>
        <v>95000</v>
      </c>
      <c r="T83" s="467">
        <f t="shared" si="89"/>
        <v>336000</v>
      </c>
      <c r="U83" s="467">
        <f t="shared" si="90"/>
        <v>445214.45376</v>
      </c>
      <c r="V83" s="467">
        <f t="shared" si="91"/>
        <v>1005214.45376</v>
      </c>
      <c r="W83" s="474">
        <v>12</v>
      </c>
      <c r="X83" s="467">
        <f t="shared" si="92"/>
        <v>83767.8711466667</v>
      </c>
      <c r="Y83" s="470"/>
      <c r="Z83" s="467">
        <f t="shared" si="93"/>
        <v>83767.8711466667</v>
      </c>
      <c r="AA83" s="467">
        <v>75574.6772906667</v>
      </c>
      <c r="AB83" s="479">
        <f t="shared" si="94"/>
        <v>8193.19385599995</v>
      </c>
      <c r="AC83" s="479" t="s">
        <v>209</v>
      </c>
      <c r="AD83" s="479"/>
      <c r="AE83" s="479"/>
    </row>
    <row r="84" ht="18" spans="1:31">
      <c r="A84" s="464">
        <v>72</v>
      </c>
      <c r="B84" s="11" t="s">
        <v>210</v>
      </c>
      <c r="C84" s="467">
        <v>548915.916666667</v>
      </c>
      <c r="D84" s="466">
        <v>12</v>
      </c>
      <c r="E84" s="467">
        <f t="shared" si="79"/>
        <v>6586991</v>
      </c>
      <c r="F84" s="467"/>
      <c r="G84" s="468">
        <v>411759.28</v>
      </c>
      <c r="H84" s="470"/>
      <c r="I84" s="467">
        <f t="shared" si="80"/>
        <v>6175231.72</v>
      </c>
      <c r="J84" s="467">
        <v>200000</v>
      </c>
      <c r="K84" s="467">
        <v>0.2</v>
      </c>
      <c r="L84" s="467">
        <f t="shared" si="81"/>
        <v>1235046.344</v>
      </c>
      <c r="M84" s="467">
        <f t="shared" si="82"/>
        <v>1435046.344</v>
      </c>
      <c r="N84" s="467">
        <f t="shared" si="83"/>
        <v>1846805.624</v>
      </c>
      <c r="O84" s="467">
        <f t="shared" si="84"/>
        <v>4740185.376</v>
      </c>
      <c r="P84" s="467">
        <f t="shared" si="85"/>
        <v>21000</v>
      </c>
      <c r="Q84" s="467">
        <f t="shared" si="86"/>
        <v>33000</v>
      </c>
      <c r="R84" s="467">
        <f t="shared" si="87"/>
        <v>75000</v>
      </c>
      <c r="S84" s="467">
        <f t="shared" si="88"/>
        <v>95000</v>
      </c>
      <c r="T84" s="467">
        <f t="shared" si="89"/>
        <v>336000</v>
      </c>
      <c r="U84" s="467">
        <f t="shared" si="90"/>
        <v>369644.490240001</v>
      </c>
      <c r="V84" s="467">
        <f t="shared" si="91"/>
        <v>929644.490240001</v>
      </c>
      <c r="W84" s="474">
        <v>12</v>
      </c>
      <c r="X84" s="467">
        <f t="shared" si="92"/>
        <v>77470.3741866667</v>
      </c>
      <c r="Y84" s="470"/>
      <c r="Z84" s="467">
        <f t="shared" si="93"/>
        <v>77470.3741866667</v>
      </c>
      <c r="AA84" s="467">
        <v>50985.9775466667</v>
      </c>
      <c r="AB84" s="479">
        <f t="shared" si="94"/>
        <v>26484.39664</v>
      </c>
      <c r="AC84" s="479" t="s">
        <v>210</v>
      </c>
      <c r="AD84" s="479"/>
      <c r="AE84" s="479"/>
    </row>
    <row r="85" ht="36" spans="1:31">
      <c r="A85" s="464">
        <v>73</v>
      </c>
      <c r="B85" s="11" t="s">
        <v>211</v>
      </c>
      <c r="C85" s="467">
        <v>568870.75</v>
      </c>
      <c r="D85" s="466">
        <v>12</v>
      </c>
      <c r="E85" s="467">
        <f t="shared" si="79"/>
        <v>6826449</v>
      </c>
      <c r="F85" s="467"/>
      <c r="G85" s="468">
        <v>411715.92</v>
      </c>
      <c r="H85" s="470"/>
      <c r="I85" s="467">
        <f t="shared" si="80"/>
        <v>6414733.08</v>
      </c>
      <c r="J85" s="467">
        <v>200000</v>
      </c>
      <c r="K85" s="467">
        <v>0.2</v>
      </c>
      <c r="L85" s="467">
        <f t="shared" si="81"/>
        <v>1282946.616</v>
      </c>
      <c r="M85" s="467">
        <f t="shared" si="82"/>
        <v>1482946.616</v>
      </c>
      <c r="N85" s="467">
        <f t="shared" si="83"/>
        <v>1894662.536</v>
      </c>
      <c r="O85" s="467">
        <f t="shared" si="84"/>
        <v>4931786.464</v>
      </c>
      <c r="P85" s="467">
        <f t="shared" si="85"/>
        <v>21000</v>
      </c>
      <c r="Q85" s="467">
        <f t="shared" si="86"/>
        <v>33000</v>
      </c>
      <c r="R85" s="467">
        <f t="shared" si="87"/>
        <v>75000</v>
      </c>
      <c r="S85" s="467">
        <f t="shared" si="88"/>
        <v>95000</v>
      </c>
      <c r="T85" s="467">
        <f t="shared" si="89"/>
        <v>336000</v>
      </c>
      <c r="U85" s="467">
        <f t="shared" si="90"/>
        <v>415628.75136</v>
      </c>
      <c r="V85" s="467">
        <f t="shared" si="91"/>
        <v>975628.75136</v>
      </c>
      <c r="W85" s="474">
        <v>12</v>
      </c>
      <c r="X85" s="467">
        <f t="shared" si="92"/>
        <v>81302.3959466667</v>
      </c>
      <c r="Y85" s="470"/>
      <c r="Z85" s="467">
        <f t="shared" si="93"/>
        <v>81302.3959466667</v>
      </c>
      <c r="AA85" s="467">
        <v>49548.7761866667</v>
      </c>
      <c r="AB85" s="479">
        <f t="shared" si="94"/>
        <v>31753.61976</v>
      </c>
      <c r="AC85" s="479" t="s">
        <v>211</v>
      </c>
      <c r="AD85" s="479"/>
      <c r="AE85" s="479"/>
    </row>
    <row r="86" ht="18" spans="1:31">
      <c r="A86" s="464">
        <v>74</v>
      </c>
      <c r="B86" s="11" t="s">
        <v>213</v>
      </c>
      <c r="C86" s="467">
        <v>475703.833333333</v>
      </c>
      <c r="D86" s="466">
        <v>12</v>
      </c>
      <c r="E86" s="467">
        <f t="shared" si="79"/>
        <v>5708446</v>
      </c>
      <c r="F86" s="467"/>
      <c r="G86" s="473">
        <f>29256.3066666667*12</f>
        <v>351075.68</v>
      </c>
      <c r="H86" s="470"/>
      <c r="I86" s="467">
        <f t="shared" si="80"/>
        <v>5357370.32</v>
      </c>
      <c r="J86" s="467">
        <v>200000</v>
      </c>
      <c r="K86" s="467">
        <v>0.2</v>
      </c>
      <c r="L86" s="467">
        <f t="shared" si="81"/>
        <v>1071474.064</v>
      </c>
      <c r="M86" s="467">
        <f t="shared" si="82"/>
        <v>1271474.064</v>
      </c>
      <c r="N86" s="467">
        <f t="shared" si="83"/>
        <v>1622549.744</v>
      </c>
      <c r="O86" s="467">
        <f t="shared" si="84"/>
        <v>4085896.256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212615.101439999</v>
      </c>
      <c r="V86" s="467">
        <f t="shared" si="91"/>
        <v>772615.101439999</v>
      </c>
      <c r="W86" s="474">
        <v>12</v>
      </c>
      <c r="X86" s="467">
        <f t="shared" si="92"/>
        <v>64384.5917866666</v>
      </c>
      <c r="Y86" s="470"/>
      <c r="Z86" s="467">
        <f t="shared" si="93"/>
        <v>64384.5917866666</v>
      </c>
      <c r="AA86" s="467">
        <v>53384.0535626667</v>
      </c>
      <c r="AB86" s="479">
        <f t="shared" si="94"/>
        <v>11000.5382239999</v>
      </c>
      <c r="AC86" s="479" t="s">
        <v>213</v>
      </c>
      <c r="AD86" s="479"/>
      <c r="AE86" s="479"/>
    </row>
    <row r="87" ht="24" customHeight="1" spans="1:31">
      <c r="A87" s="464">
        <v>75</v>
      </c>
      <c r="B87" s="11" t="s">
        <v>214</v>
      </c>
      <c r="C87" s="467">
        <v>510248.916666667</v>
      </c>
      <c r="D87" s="466">
        <v>12</v>
      </c>
      <c r="E87" s="467">
        <f t="shared" si="79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80"/>
        <v>5741425.543</v>
      </c>
      <c r="J87" s="467">
        <v>200000</v>
      </c>
      <c r="K87" s="467">
        <v>0.2</v>
      </c>
      <c r="L87" s="467">
        <f t="shared" si="81"/>
        <v>1148285.1086</v>
      </c>
      <c r="M87" s="467">
        <f t="shared" si="82"/>
        <v>1348285.1086</v>
      </c>
      <c r="N87" s="467">
        <f t="shared" si="83"/>
        <v>1729846.5656</v>
      </c>
      <c r="O87" s="467">
        <f t="shared" si="84"/>
        <v>4393140.4344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286353.704256001</v>
      </c>
      <c r="V87" s="467">
        <f t="shared" si="91"/>
        <v>846353.704256001</v>
      </c>
      <c r="W87" s="474">
        <v>12</v>
      </c>
      <c r="X87" s="467">
        <f t="shared" si="92"/>
        <v>70529.4753546667</v>
      </c>
      <c r="Y87" s="470"/>
      <c r="Z87" s="467">
        <f t="shared" si="93"/>
        <v>70529.4753546667</v>
      </c>
      <c r="AA87" s="467">
        <v>41242.0361406667</v>
      </c>
      <c r="AB87" s="479">
        <f t="shared" si="94"/>
        <v>29287.439214</v>
      </c>
      <c r="AC87" s="479" t="s">
        <v>214</v>
      </c>
      <c r="AD87" s="479"/>
      <c r="AE87" s="479"/>
    </row>
    <row r="88" ht="18" spans="1:31">
      <c r="A88" s="464">
        <v>76</v>
      </c>
      <c r="B88" s="11" t="s">
        <v>217</v>
      </c>
      <c r="C88" s="467">
        <v>400965.583333333</v>
      </c>
      <c r="D88" s="466">
        <v>12</v>
      </c>
      <c r="E88" s="467">
        <f t="shared" si="79"/>
        <v>4811587</v>
      </c>
      <c r="F88" s="467"/>
      <c r="G88" s="468">
        <v>288926.96</v>
      </c>
      <c r="H88" s="470"/>
      <c r="I88" s="467">
        <f t="shared" si="80"/>
        <v>4522660.04</v>
      </c>
      <c r="J88" s="467">
        <v>200000</v>
      </c>
      <c r="K88" s="467">
        <v>0.2</v>
      </c>
      <c r="L88" s="467">
        <f t="shared" si="81"/>
        <v>904532.007999999</v>
      </c>
      <c r="M88" s="467">
        <f t="shared" si="82"/>
        <v>1104532.008</v>
      </c>
      <c r="N88" s="467">
        <f t="shared" si="83"/>
        <v>1393458.968</v>
      </c>
      <c r="O88" s="467">
        <f t="shared" si="84"/>
        <v>3418128.032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52350.7276799992</v>
      </c>
      <c r="V88" s="467">
        <f t="shared" si="91"/>
        <v>612350.727679999</v>
      </c>
      <c r="W88" s="474">
        <v>12</v>
      </c>
      <c r="X88" s="467">
        <f t="shared" si="92"/>
        <v>51029.2273066666</v>
      </c>
      <c r="Y88" s="470"/>
      <c r="Z88" s="467">
        <f t="shared" si="93"/>
        <v>51029.2273066666</v>
      </c>
      <c r="AA88" s="467">
        <v>45414.4562526667</v>
      </c>
      <c r="AB88" s="479">
        <f t="shared" si="94"/>
        <v>5614.7710539999</v>
      </c>
      <c r="AC88" s="479" t="s">
        <v>217</v>
      </c>
      <c r="AD88" s="479"/>
      <c r="AE88" s="479"/>
    </row>
    <row r="89" ht="18" spans="1:31">
      <c r="A89" s="464"/>
      <c r="B89" s="11" t="s">
        <v>221</v>
      </c>
      <c r="C89" s="467">
        <v>330631.916666667</v>
      </c>
      <c r="D89" s="466">
        <v>12</v>
      </c>
      <c r="E89" s="467">
        <f t="shared" si="79"/>
        <v>3967583</v>
      </c>
      <c r="F89" s="467"/>
      <c r="G89" s="468">
        <v>221406.64</v>
      </c>
      <c r="H89" s="470"/>
      <c r="I89" s="467">
        <f t="shared" si="80"/>
        <v>3746176.36</v>
      </c>
      <c r="J89" s="467">
        <v>200000</v>
      </c>
      <c r="K89" s="467">
        <v>0.2</v>
      </c>
      <c r="L89" s="467">
        <f t="shared" si="81"/>
        <v>749235.272000001</v>
      </c>
      <c r="M89" s="467">
        <f t="shared" si="82"/>
        <v>949235.272000001</v>
      </c>
      <c r="N89" s="467">
        <f t="shared" si="83"/>
        <v>1170641.912</v>
      </c>
      <c r="O89" s="467">
        <f t="shared" si="84"/>
        <v>2796941.088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251357.628480001</v>
      </c>
      <c r="U89" s="467"/>
      <c r="V89" s="467">
        <f t="shared" si="91"/>
        <v>475357.628480001</v>
      </c>
      <c r="W89" s="474">
        <v>12</v>
      </c>
      <c r="X89" s="467">
        <f t="shared" si="92"/>
        <v>39613.1357066667</v>
      </c>
      <c r="Y89" s="470"/>
      <c r="Z89" s="467">
        <f t="shared" si="93"/>
        <v>39613.1357066667</v>
      </c>
      <c r="AA89" s="467">
        <v>33825.9865626667</v>
      </c>
      <c r="AB89" s="479">
        <f t="shared" si="94"/>
        <v>5787.14914400001</v>
      </c>
      <c r="AC89" s="479" t="s">
        <v>221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224</v>
      </c>
      <c r="C92" s="467"/>
      <c r="AC92" s="479"/>
      <c r="AD92" s="479"/>
      <c r="AE92" s="479"/>
    </row>
    <row r="93" ht="18" spans="1:31">
      <c r="A93" s="464">
        <v>79</v>
      </c>
      <c r="B93" s="14" t="s">
        <v>225</v>
      </c>
      <c r="C93" s="467">
        <v>1452042.67</v>
      </c>
      <c r="D93" s="466">
        <v>12</v>
      </c>
      <c r="E93" s="467">
        <f t="shared" ref="E93:E96" si="95"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 t="shared" ref="I93:I96" si="96">E93-F93-G93-H93</f>
        <v>16113755.1258</v>
      </c>
      <c r="J93" s="467">
        <v>200000</v>
      </c>
      <c r="K93" s="467">
        <v>0.2</v>
      </c>
      <c r="L93" s="467">
        <f t="shared" ref="L93:L96" si="97">I93*K93</f>
        <v>3222751.02516</v>
      </c>
      <c r="M93" s="467">
        <f t="shared" ref="M93:M96" si="98">J93+L93</f>
        <v>3422751.02516</v>
      </c>
      <c r="N93" s="467">
        <f t="shared" ref="N93:N96" si="99">F93+G93+H93+M93</f>
        <v>4733507.93936</v>
      </c>
      <c r="O93" s="467">
        <f t="shared" ref="O93:O96" si="100">E93-N93</f>
        <v>12691004.10064</v>
      </c>
      <c r="P93" s="467">
        <f t="shared" ref="P93:P96" si="101">IF(O93&lt;300000,0.07*O93,21000)</f>
        <v>21000</v>
      </c>
      <c r="Q93" s="467">
        <f t="shared" ref="Q93:Q96" si="102">IF((O93-300000)&lt;0,0,IF((O93-300000)&lt;300000,0.11*(O93-300000),33000))</f>
        <v>33000</v>
      </c>
      <c r="R93" s="467">
        <f t="shared" ref="R93:R96" si="103">IF((O93-600000)&lt;0,0,IF((O93-600000)&lt;500000,0.15*(O93-600000),75000))</f>
        <v>75000</v>
      </c>
      <c r="S93" s="467">
        <f t="shared" ref="S93:S96" si="104">IF((O93-1100000)&lt;0,0,IF((O93-1100000)&lt;500000,0.19*(O93-1100000),95000))</f>
        <v>95000</v>
      </c>
      <c r="T93" s="467">
        <f t="shared" ref="T93:T96" si="105">IF((O93-1600000)&lt;0,0,IF((O93-1600000)&lt;1600000,0.21*(O93-1600000),336000))</f>
        <v>336000</v>
      </c>
      <c r="U93" s="467">
        <f t="shared" ref="U93:U95" si="106">24%*(O93-3200000)</f>
        <v>2277840.9841536</v>
      </c>
      <c r="V93" s="467">
        <f t="shared" ref="V93:V96" si="107">P93+Q93+R93+S93+T93+U93</f>
        <v>2837840.9841536</v>
      </c>
      <c r="W93" s="474">
        <v>12</v>
      </c>
      <c r="X93" s="467">
        <f t="shared" ref="X93:X96" si="108">V93/W93</f>
        <v>236486.748679467</v>
      </c>
      <c r="Y93" s="470"/>
      <c r="Z93" s="467">
        <f t="shared" ref="Z93:Z96" si="109">X93</f>
        <v>236486.748679467</v>
      </c>
      <c r="AA93" s="479">
        <v>82423.2162026667</v>
      </c>
      <c r="AB93" s="479">
        <f t="shared" ref="AB93:AB96" si="110">Z93-AA93</f>
        <v>154063.5324768</v>
      </c>
      <c r="AC93" s="479" t="s">
        <v>225</v>
      </c>
      <c r="AD93" s="479"/>
      <c r="AE93" s="479"/>
    </row>
    <row r="94" ht="18" spans="1:31">
      <c r="A94" s="464">
        <v>80</v>
      </c>
      <c r="B94" s="11" t="s">
        <v>227</v>
      </c>
      <c r="C94" s="467">
        <v>526622.25</v>
      </c>
      <c r="D94" s="466">
        <v>12</v>
      </c>
      <c r="E94" s="467">
        <f t="shared" si="95"/>
        <v>6319467</v>
      </c>
      <c r="F94" s="467"/>
      <c r="G94" s="468">
        <v>438357.36</v>
      </c>
      <c r="H94" s="470"/>
      <c r="I94" s="467">
        <f t="shared" si="96"/>
        <v>5881109.64</v>
      </c>
      <c r="J94" s="467">
        <v>200000</v>
      </c>
      <c r="K94" s="467">
        <v>0.2</v>
      </c>
      <c r="L94" s="467">
        <f t="shared" si="97"/>
        <v>1176221.928</v>
      </c>
      <c r="M94" s="467">
        <f t="shared" si="98"/>
        <v>1376221.928</v>
      </c>
      <c r="N94" s="467">
        <f t="shared" si="99"/>
        <v>1814579.288</v>
      </c>
      <c r="O94" s="467">
        <f t="shared" si="100"/>
        <v>4504887.712</v>
      </c>
      <c r="P94" s="467">
        <f t="shared" si="101"/>
        <v>21000</v>
      </c>
      <c r="Q94" s="467">
        <f t="shared" si="102"/>
        <v>33000</v>
      </c>
      <c r="R94" s="467">
        <f t="shared" si="103"/>
        <v>75000</v>
      </c>
      <c r="S94" s="467">
        <f t="shared" si="104"/>
        <v>95000</v>
      </c>
      <c r="T94" s="467">
        <f t="shared" si="105"/>
        <v>336000</v>
      </c>
      <c r="U94" s="467">
        <f t="shared" si="106"/>
        <v>313173.05088</v>
      </c>
      <c r="V94" s="467">
        <f t="shared" si="107"/>
        <v>873173.05088</v>
      </c>
      <c r="W94" s="474">
        <v>12</v>
      </c>
      <c r="X94" s="467">
        <f t="shared" si="108"/>
        <v>72764.4209066667</v>
      </c>
      <c r="Y94" s="470"/>
      <c r="Z94" s="467">
        <f t="shared" si="109"/>
        <v>72764.4209066667</v>
      </c>
      <c r="AA94" s="479">
        <v>82627.9514186667</v>
      </c>
      <c r="AB94" s="479">
        <f t="shared" si="110"/>
        <v>-9863.53051200004</v>
      </c>
      <c r="AC94" s="479" t="s">
        <v>227</v>
      </c>
      <c r="AD94" s="479"/>
      <c r="AE94" s="479"/>
    </row>
    <row r="95" ht="18" spans="1:31">
      <c r="A95" s="464">
        <v>81</v>
      </c>
      <c r="B95" s="11" t="s">
        <v>233</v>
      </c>
      <c r="C95" s="467">
        <v>437895.166666667</v>
      </c>
      <c r="D95" s="466">
        <v>12</v>
      </c>
      <c r="E95" s="467">
        <f t="shared" si="95"/>
        <v>5254742</v>
      </c>
      <c r="F95" s="467"/>
      <c r="G95" s="468">
        <v>362779.36</v>
      </c>
      <c r="H95" s="470"/>
      <c r="I95" s="467">
        <f t="shared" si="96"/>
        <v>4891962.64</v>
      </c>
      <c r="J95" s="467">
        <v>200000</v>
      </c>
      <c r="K95" s="467">
        <v>0.2</v>
      </c>
      <c r="L95" s="467">
        <f t="shared" si="97"/>
        <v>978392.528000001</v>
      </c>
      <c r="M95" s="467">
        <f t="shared" si="98"/>
        <v>1178392.528</v>
      </c>
      <c r="N95" s="467">
        <f t="shared" si="99"/>
        <v>1541171.888</v>
      </c>
      <c r="O95" s="467">
        <f t="shared" si="100"/>
        <v>3713570.112</v>
      </c>
      <c r="P95" s="467">
        <f t="shared" si="101"/>
        <v>21000</v>
      </c>
      <c r="Q95" s="467">
        <f t="shared" si="102"/>
        <v>33000</v>
      </c>
      <c r="R95" s="467">
        <f t="shared" si="103"/>
        <v>75000</v>
      </c>
      <c r="S95" s="467">
        <f t="shared" si="104"/>
        <v>95000</v>
      </c>
      <c r="T95" s="467">
        <f t="shared" si="105"/>
        <v>336000</v>
      </c>
      <c r="U95" s="467">
        <f t="shared" si="106"/>
        <v>123256.826880001</v>
      </c>
      <c r="V95" s="467">
        <f t="shared" si="107"/>
        <v>683256.826880001</v>
      </c>
      <c r="W95" s="474">
        <v>12</v>
      </c>
      <c r="X95" s="467">
        <f t="shared" si="108"/>
        <v>56938.0689066667</v>
      </c>
      <c r="Y95" s="470"/>
      <c r="Z95" s="467">
        <f t="shared" si="109"/>
        <v>56938.0689066667</v>
      </c>
      <c r="AA95" s="479">
        <v>43492.3733766667</v>
      </c>
      <c r="AB95" s="479">
        <f t="shared" si="110"/>
        <v>13445.69553</v>
      </c>
      <c r="AC95" s="479" t="s">
        <v>233</v>
      </c>
      <c r="AD95" s="479"/>
      <c r="AE95" s="479"/>
    </row>
    <row r="96" ht="18" spans="1:31">
      <c r="A96" s="464"/>
      <c r="B96" s="11" t="s">
        <v>234</v>
      </c>
      <c r="C96" s="467">
        <v>360965.583333333</v>
      </c>
      <c r="D96" s="466">
        <v>12</v>
      </c>
      <c r="E96" s="467">
        <f t="shared" si="95"/>
        <v>4331587</v>
      </c>
      <c r="F96" s="467"/>
      <c r="G96" s="468">
        <v>288926.96</v>
      </c>
      <c r="H96" s="470"/>
      <c r="I96" s="467">
        <f t="shared" si="96"/>
        <v>4042660.04</v>
      </c>
      <c r="J96" s="467">
        <v>200000</v>
      </c>
      <c r="K96" s="467">
        <v>0.2</v>
      </c>
      <c r="L96" s="467">
        <f t="shared" si="97"/>
        <v>808532.007999999</v>
      </c>
      <c r="M96" s="467">
        <f t="shared" si="98"/>
        <v>1008532.008</v>
      </c>
      <c r="N96" s="467">
        <f t="shared" si="99"/>
        <v>1297458.968</v>
      </c>
      <c r="O96" s="467">
        <f t="shared" si="100"/>
        <v>3034128.032</v>
      </c>
      <c r="P96" s="467">
        <f t="shared" si="101"/>
        <v>21000</v>
      </c>
      <c r="Q96" s="467">
        <f t="shared" si="102"/>
        <v>33000</v>
      </c>
      <c r="R96" s="467">
        <f t="shared" si="103"/>
        <v>75000</v>
      </c>
      <c r="S96" s="467">
        <f t="shared" si="104"/>
        <v>95000</v>
      </c>
      <c r="T96" s="467">
        <f t="shared" si="105"/>
        <v>301166.886719999</v>
      </c>
      <c r="U96" s="467"/>
      <c r="V96" s="467">
        <f t="shared" si="107"/>
        <v>525166.886719999</v>
      </c>
      <c r="W96" s="474">
        <v>12</v>
      </c>
      <c r="X96" s="467">
        <f t="shared" si="108"/>
        <v>43763.9072266666</v>
      </c>
      <c r="Y96" s="470"/>
      <c r="Z96" s="467">
        <f t="shared" si="109"/>
        <v>43763.9072266666</v>
      </c>
      <c r="AA96" s="479">
        <v>34968.8824146667</v>
      </c>
      <c r="AB96" s="479">
        <f t="shared" si="110"/>
        <v>8795.02481199991</v>
      </c>
      <c r="AC96" s="479" t="s">
        <v>234</v>
      </c>
      <c r="AD96" s="479"/>
      <c r="AE96" s="479"/>
    </row>
    <row r="97" ht="17.5" spans="1:31">
      <c r="A97" s="464"/>
      <c r="B97" s="20" t="s">
        <v>120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237</v>
      </c>
      <c r="C99" s="467"/>
      <c r="G99" s="296">
        <v>0</v>
      </c>
      <c r="AB99" s="296" t="s">
        <v>808</v>
      </c>
      <c r="AC99" s="479"/>
      <c r="AD99" s="479"/>
      <c r="AE99" s="479"/>
    </row>
    <row r="100" ht="18" spans="1:31">
      <c r="A100" s="464">
        <v>85</v>
      </c>
      <c r="B100" s="11" t="s">
        <v>556</v>
      </c>
      <c r="C100" s="467">
        <v>1635720</v>
      </c>
      <c r="D100" s="466">
        <v>12</v>
      </c>
      <c r="E100" s="467">
        <f t="shared" ref="E100:E106" si="111">C100*D100</f>
        <v>19628640</v>
      </c>
      <c r="F100" s="467"/>
      <c r="G100" s="468">
        <v>1378291.2</v>
      </c>
      <c r="H100" s="470"/>
      <c r="I100" s="467">
        <f t="shared" ref="I100:I105" si="112">E100-F100-G100-H100</f>
        <v>18250348.8</v>
      </c>
      <c r="J100" s="467">
        <v>200000</v>
      </c>
      <c r="K100" s="467">
        <v>0.2</v>
      </c>
      <c r="L100" s="467">
        <f t="shared" ref="L100:L106" si="113">I100*K100</f>
        <v>3650069.76</v>
      </c>
      <c r="M100" s="467">
        <f t="shared" ref="M100:M106" si="114">J100+L100</f>
        <v>3850069.76</v>
      </c>
      <c r="N100" s="467">
        <f t="shared" ref="N100:N105" si="115">F100+G100+H100+M100</f>
        <v>5228360.96</v>
      </c>
      <c r="O100" s="467">
        <f t="shared" ref="O100:O106" si="116">E100-N100</f>
        <v>14400279.04</v>
      </c>
      <c r="P100" s="467">
        <f t="shared" ref="P100:P106" si="117">IF(O100&lt;300000,0.07*O100,21000)</f>
        <v>21000</v>
      </c>
      <c r="Q100" s="467">
        <f t="shared" ref="Q100:Q106" si="118">IF((O100-300000)&lt;0,0,IF((O100-300000)&lt;300000,0.11*(O100-300000),33000))</f>
        <v>33000</v>
      </c>
      <c r="R100" s="467">
        <f t="shared" ref="R100:R106" si="119">IF((O100-600000)&lt;0,0,IF((O100-600000)&lt;500000,0.15*(O100-600000),75000))</f>
        <v>75000</v>
      </c>
      <c r="S100" s="467">
        <f t="shared" ref="S100:S106" si="120">IF((O100-1100000)&lt;0,0,IF((O100-1100000)&lt;500000,0.19*(O100-1100000),95000))</f>
        <v>95000</v>
      </c>
      <c r="T100" s="467">
        <f t="shared" ref="T100:T106" si="121">IF((O100-1600000)&lt;0,0,IF((O100-1600000)&lt;1600000,0.21*(O100-1600000),336000))</f>
        <v>336000</v>
      </c>
      <c r="U100" s="467">
        <f t="shared" ref="U100:U102" si="122">24%*(O100-3200000)</f>
        <v>2688066.9696</v>
      </c>
      <c r="V100" s="467">
        <f t="shared" ref="V100:V106" si="123">P100+Q100+R100+S100+T100+U100</f>
        <v>3248066.9696</v>
      </c>
      <c r="W100" s="474">
        <v>12</v>
      </c>
      <c r="X100" s="467">
        <f t="shared" ref="X100:X106" si="124">V100/W100</f>
        <v>270672.247466667</v>
      </c>
      <c r="Y100" s="470"/>
      <c r="Z100" s="467">
        <f t="shared" ref="Z100:Z106" si="125">X100</f>
        <v>270672.247466667</v>
      </c>
      <c r="AA100" s="479">
        <v>180306.806858667</v>
      </c>
      <c r="AB100" s="479">
        <f t="shared" ref="AB100:AB106" si="126">Z100-AA100</f>
        <v>90365.4406079996</v>
      </c>
      <c r="AC100" s="479" t="s">
        <v>556</v>
      </c>
      <c r="AD100" s="479"/>
      <c r="AE100" s="479"/>
    </row>
    <row r="101" ht="18" spans="1:31">
      <c r="A101" s="464">
        <v>86</v>
      </c>
      <c r="B101" s="11" t="s">
        <v>240</v>
      </c>
      <c r="C101" s="467">
        <v>942373.166666667</v>
      </c>
      <c r="D101" s="466">
        <v>12</v>
      </c>
      <c r="E101" s="467">
        <f t="shared" si="111"/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112"/>
        <v>10563803.809</v>
      </c>
      <c r="J101" s="467">
        <v>200000</v>
      </c>
      <c r="K101" s="467">
        <v>0.2</v>
      </c>
      <c r="L101" s="467">
        <f t="shared" si="113"/>
        <v>2112760.7618</v>
      </c>
      <c r="M101" s="467">
        <f t="shared" si="114"/>
        <v>2312760.7618</v>
      </c>
      <c r="N101" s="467">
        <f t="shared" si="115"/>
        <v>3057434.9528</v>
      </c>
      <c r="O101" s="467">
        <f t="shared" si="116"/>
        <v>8251043.0472</v>
      </c>
      <c r="P101" s="467">
        <f t="shared" si="117"/>
        <v>21000</v>
      </c>
      <c r="Q101" s="467">
        <f t="shared" si="118"/>
        <v>33000</v>
      </c>
      <c r="R101" s="467">
        <f t="shared" si="119"/>
        <v>75000</v>
      </c>
      <c r="S101" s="467">
        <f t="shared" si="120"/>
        <v>95000</v>
      </c>
      <c r="T101" s="467">
        <f t="shared" si="121"/>
        <v>336000</v>
      </c>
      <c r="U101" s="467">
        <f t="shared" si="122"/>
        <v>1212250.331328</v>
      </c>
      <c r="V101" s="467">
        <f t="shared" si="123"/>
        <v>1772250.331328</v>
      </c>
      <c r="W101" s="474">
        <v>12</v>
      </c>
      <c r="X101" s="467">
        <f t="shared" si="124"/>
        <v>147687.527610667</v>
      </c>
      <c r="Y101" s="470"/>
      <c r="Z101" s="467">
        <f t="shared" si="125"/>
        <v>147687.527610667</v>
      </c>
      <c r="AA101" s="479">
        <v>99703.2162026667</v>
      </c>
      <c r="AB101" s="479">
        <f t="shared" si="126"/>
        <v>47984.311408</v>
      </c>
      <c r="AC101" s="479" t="s">
        <v>240</v>
      </c>
      <c r="AD101" s="479"/>
      <c r="AE101" s="479"/>
    </row>
    <row r="102" ht="18" spans="1:31">
      <c r="A102" s="464">
        <v>87</v>
      </c>
      <c r="B102" s="11" t="s">
        <v>242</v>
      </c>
      <c r="C102" s="467">
        <v>700086.5</v>
      </c>
      <c r="D102" s="466">
        <v>12</v>
      </c>
      <c r="E102" s="467">
        <f t="shared" si="111"/>
        <v>8401038</v>
      </c>
      <c r="F102" s="467">
        <f>'[6]JANUARY 2024'!$V$107*12</f>
        <v>7901.79</v>
      </c>
      <c r="G102" s="468">
        <v>424132.72</v>
      </c>
      <c r="H102" s="470"/>
      <c r="I102" s="467">
        <f t="shared" si="112"/>
        <v>7969003.49</v>
      </c>
      <c r="J102" s="467">
        <v>200000</v>
      </c>
      <c r="K102" s="467">
        <v>0.2</v>
      </c>
      <c r="L102" s="467">
        <f t="shared" si="113"/>
        <v>1593800.698</v>
      </c>
      <c r="M102" s="467">
        <f t="shared" si="114"/>
        <v>1793800.698</v>
      </c>
      <c r="N102" s="467">
        <f t="shared" si="115"/>
        <v>2225835.208</v>
      </c>
      <c r="O102" s="467">
        <f t="shared" si="116"/>
        <v>6175202.792</v>
      </c>
      <c r="P102" s="467">
        <f t="shared" si="117"/>
        <v>21000</v>
      </c>
      <c r="Q102" s="467">
        <f t="shared" si="118"/>
        <v>33000</v>
      </c>
      <c r="R102" s="467">
        <f t="shared" si="119"/>
        <v>75000</v>
      </c>
      <c r="S102" s="467">
        <f t="shared" si="120"/>
        <v>95000</v>
      </c>
      <c r="T102" s="467">
        <f t="shared" si="121"/>
        <v>336000</v>
      </c>
      <c r="U102" s="467">
        <f t="shared" si="122"/>
        <v>714048.67008</v>
      </c>
      <c r="V102" s="467">
        <f t="shared" si="123"/>
        <v>1274048.67008</v>
      </c>
      <c r="W102" s="474">
        <v>12</v>
      </c>
      <c r="X102" s="467">
        <f t="shared" si="124"/>
        <v>106170.722506667</v>
      </c>
      <c r="Y102" s="470"/>
      <c r="Z102" s="467">
        <f t="shared" si="125"/>
        <v>106170.722506667</v>
      </c>
      <c r="AA102" s="479">
        <v>180180.378218667</v>
      </c>
      <c r="AB102" s="479">
        <f t="shared" si="126"/>
        <v>-74009.6557120003</v>
      </c>
      <c r="AC102" s="479" t="s">
        <v>242</v>
      </c>
      <c r="AD102" s="479"/>
      <c r="AE102" s="479"/>
    </row>
    <row r="103" ht="18" spans="1:31">
      <c r="A103" s="464">
        <v>88</v>
      </c>
      <c r="B103" s="11" t="s">
        <v>244</v>
      </c>
      <c r="C103" s="467">
        <v>601625.033321667</v>
      </c>
      <c r="D103" s="466">
        <v>12</v>
      </c>
      <c r="E103" s="467">
        <f t="shared" si="111"/>
        <v>7219500.39986</v>
      </c>
      <c r="F103" s="467"/>
      <c r="G103" s="468">
        <v>424132.72</v>
      </c>
      <c r="H103" s="470"/>
      <c r="I103" s="467">
        <f t="shared" si="112"/>
        <v>6795367.67986</v>
      </c>
      <c r="J103" s="467">
        <v>200000</v>
      </c>
      <c r="K103" s="467">
        <v>0.2</v>
      </c>
      <c r="L103" s="467">
        <f t="shared" si="113"/>
        <v>1359073.535972</v>
      </c>
      <c r="M103" s="467">
        <f t="shared" si="114"/>
        <v>1559073.535972</v>
      </c>
      <c r="N103" s="467">
        <f t="shared" si="115"/>
        <v>1983206.255972</v>
      </c>
      <c r="O103" s="467">
        <f t="shared" si="116"/>
        <v>5236294.143888</v>
      </c>
      <c r="P103" s="467">
        <f t="shared" si="117"/>
        <v>21000</v>
      </c>
      <c r="Q103" s="467">
        <f t="shared" si="118"/>
        <v>33000</v>
      </c>
      <c r="R103" s="467">
        <f t="shared" si="119"/>
        <v>75000</v>
      </c>
      <c r="S103" s="467">
        <f t="shared" si="120"/>
        <v>95000</v>
      </c>
      <c r="T103" s="467">
        <f t="shared" si="121"/>
        <v>336000</v>
      </c>
      <c r="U103" s="467">
        <f>0.24*(O103-3200000)</f>
        <v>488710.594533121</v>
      </c>
      <c r="V103" s="467">
        <f t="shared" si="123"/>
        <v>1048710.59453312</v>
      </c>
      <c r="W103" s="474">
        <v>12</v>
      </c>
      <c r="X103" s="467">
        <f t="shared" si="124"/>
        <v>87392.5495444267</v>
      </c>
      <c r="Y103" s="470"/>
      <c r="Z103" s="467">
        <f t="shared" si="125"/>
        <v>87392.5495444267</v>
      </c>
      <c r="AA103" s="479">
        <v>99907.9514186667</v>
      </c>
      <c r="AB103" s="479">
        <f t="shared" si="126"/>
        <v>-12515.40187424</v>
      </c>
      <c r="AC103" s="479" t="s">
        <v>244</v>
      </c>
      <c r="AD103" s="479"/>
      <c r="AE103" s="479"/>
    </row>
    <row r="104" ht="18" spans="1:31">
      <c r="A104" s="464">
        <v>89</v>
      </c>
      <c r="B104" s="11" t="s">
        <v>247</v>
      </c>
      <c r="C104" s="467">
        <v>374481.864146667</v>
      </c>
      <c r="D104" s="466">
        <v>12</v>
      </c>
      <c r="E104" s="467">
        <f t="shared" si="111"/>
        <v>4493782.36976</v>
      </c>
      <c r="F104" s="467"/>
      <c r="G104" s="468">
        <v>239182.48</v>
      </c>
      <c r="H104" s="470"/>
      <c r="I104" s="467">
        <f t="shared" si="112"/>
        <v>4254599.88976</v>
      </c>
      <c r="J104" s="467">
        <v>200000</v>
      </c>
      <c r="K104" s="467">
        <v>0.2</v>
      </c>
      <c r="L104" s="467">
        <f t="shared" si="113"/>
        <v>850919.977952001</v>
      </c>
      <c r="M104" s="467">
        <f t="shared" si="114"/>
        <v>1050919.977952</v>
      </c>
      <c r="N104" s="467">
        <f t="shared" si="115"/>
        <v>1290102.457952</v>
      </c>
      <c r="O104" s="467">
        <f t="shared" si="116"/>
        <v>3203679.911808</v>
      </c>
      <c r="P104" s="467">
        <f t="shared" si="117"/>
        <v>21000</v>
      </c>
      <c r="Q104" s="467">
        <f t="shared" si="118"/>
        <v>33000</v>
      </c>
      <c r="R104" s="467">
        <f t="shared" si="119"/>
        <v>75000</v>
      </c>
      <c r="S104" s="467">
        <f t="shared" si="120"/>
        <v>95000</v>
      </c>
      <c r="T104" s="467">
        <f t="shared" si="121"/>
        <v>336000</v>
      </c>
      <c r="U104" s="467">
        <f>0.24*(O104-3200000)</f>
        <v>883.178833920769</v>
      </c>
      <c r="V104" s="467">
        <f t="shared" si="123"/>
        <v>560883.178833921</v>
      </c>
      <c r="W104" s="474">
        <v>12</v>
      </c>
      <c r="X104" s="467">
        <f t="shared" si="124"/>
        <v>46740.2649028267</v>
      </c>
      <c r="Y104" s="470"/>
      <c r="Z104" s="467">
        <f t="shared" si="125"/>
        <v>46740.2649028267</v>
      </c>
      <c r="AA104" s="479">
        <v>58941.1017434667</v>
      </c>
      <c r="AB104" s="479">
        <f t="shared" si="126"/>
        <v>-12200.83684064</v>
      </c>
      <c r="AC104" s="479" t="s">
        <v>247</v>
      </c>
      <c r="AD104" s="479"/>
      <c r="AE104" s="479"/>
    </row>
    <row r="105" ht="36" spans="1:31">
      <c r="A105" s="464"/>
      <c r="B105" s="18" t="s">
        <v>250</v>
      </c>
      <c r="C105" s="467">
        <v>588275.17122</v>
      </c>
      <c r="D105" s="466">
        <v>12</v>
      </c>
      <c r="E105" s="467">
        <f t="shared" si="111"/>
        <v>7059302.05464</v>
      </c>
      <c r="F105" s="467"/>
      <c r="G105" s="468">
        <v>233257.2</v>
      </c>
      <c r="H105" s="470"/>
      <c r="I105" s="467">
        <f t="shared" si="112"/>
        <v>6826044.85464</v>
      </c>
      <c r="J105" s="467">
        <v>200000</v>
      </c>
      <c r="K105" s="467">
        <v>0.2</v>
      </c>
      <c r="L105" s="467">
        <f t="shared" si="113"/>
        <v>1365208.970928</v>
      </c>
      <c r="M105" s="467">
        <f t="shared" si="114"/>
        <v>1565208.970928</v>
      </c>
      <c r="N105" s="467">
        <f t="shared" si="115"/>
        <v>1798466.170928</v>
      </c>
      <c r="O105" s="467">
        <f t="shared" si="116"/>
        <v>5260835.883712</v>
      </c>
      <c r="P105" s="467">
        <f t="shared" si="117"/>
        <v>21000</v>
      </c>
      <c r="Q105" s="467">
        <f t="shared" si="118"/>
        <v>33000</v>
      </c>
      <c r="R105" s="467">
        <f t="shared" si="119"/>
        <v>75000</v>
      </c>
      <c r="S105" s="467">
        <f t="shared" si="120"/>
        <v>95000</v>
      </c>
      <c r="T105" s="467">
        <f t="shared" si="121"/>
        <v>336000</v>
      </c>
      <c r="U105" s="467">
        <f>0.24*(O105-3200000)</f>
        <v>494600.61209088</v>
      </c>
      <c r="V105" s="467">
        <f t="shared" si="123"/>
        <v>1054600.61209088</v>
      </c>
      <c r="W105" s="474">
        <v>12</v>
      </c>
      <c r="X105" s="467">
        <f t="shared" si="124"/>
        <v>87883.3843409066</v>
      </c>
      <c r="Y105" s="470"/>
      <c r="Z105" s="467">
        <f t="shared" si="125"/>
        <v>87883.3843409066</v>
      </c>
      <c r="AA105" s="479">
        <v>58631.4399444267</v>
      </c>
      <c r="AB105" s="479">
        <f t="shared" si="126"/>
        <v>29251.94439648</v>
      </c>
      <c r="AC105" s="479" t="s">
        <v>250</v>
      </c>
      <c r="AD105" s="479"/>
      <c r="AE105" s="479"/>
    </row>
    <row r="106" ht="18" spans="1:31">
      <c r="A106" s="464"/>
      <c r="B106" s="18" t="s">
        <v>251</v>
      </c>
      <c r="C106" s="467">
        <v>355198.112111667</v>
      </c>
      <c r="D106" s="466">
        <v>12</v>
      </c>
      <c r="E106" s="467">
        <f t="shared" si="11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113"/>
        <v>808194.141068001</v>
      </c>
      <c r="M106" s="467">
        <f t="shared" si="114"/>
        <v>1008194.141068</v>
      </c>
      <c r="N106" s="467">
        <f>F107+G106+H106+M106</f>
        <v>1229600.781068</v>
      </c>
      <c r="O106" s="467">
        <f t="shared" si="116"/>
        <v>3032776.564272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300883.078497121</v>
      </c>
      <c r="U106" s="467"/>
      <c r="V106" s="467">
        <f t="shared" si="123"/>
        <v>524883.078497121</v>
      </c>
      <c r="W106" s="474">
        <v>12</v>
      </c>
      <c r="X106" s="467">
        <f t="shared" si="124"/>
        <v>43740.2565414267</v>
      </c>
      <c r="Y106" s="470"/>
      <c r="Z106" s="467">
        <f t="shared" si="125"/>
        <v>43740.2565414267</v>
      </c>
      <c r="AA106" s="479">
        <v>31871.3352033067</v>
      </c>
      <c r="AB106" s="479">
        <f t="shared" si="126"/>
        <v>11868.92133812</v>
      </c>
      <c r="AC106" s="479" t="s">
        <v>251</v>
      </c>
      <c r="AD106" s="479"/>
      <c r="AE106" s="479"/>
    </row>
    <row r="107" ht="17.5" spans="1:31">
      <c r="A107" s="464"/>
      <c r="B107" s="20" t="s">
        <v>120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255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163</v>
      </c>
      <c r="C110" s="467">
        <v>888080.266666667</v>
      </c>
      <c r="D110" s="466">
        <v>12</v>
      </c>
      <c r="E110" s="467">
        <f t="shared" ref="E110:E112" si="127">C110*D110</f>
        <v>10656963.2</v>
      </c>
      <c r="F110" s="467">
        <f>'[6]JANUARY 2024'!$V$115*12</f>
        <v>9678.96</v>
      </c>
      <c r="G110" s="468">
        <v>577340.96</v>
      </c>
      <c r="H110" s="470"/>
      <c r="I110" s="467">
        <f t="shared" ref="I110:I112" si="128">E110-F110-G110-H110</f>
        <v>10069943.28</v>
      </c>
      <c r="J110" s="467">
        <v>200000</v>
      </c>
      <c r="K110" s="467">
        <v>0.2</v>
      </c>
      <c r="L110" s="467">
        <f t="shared" ref="L110:L112" si="129">I110*K110</f>
        <v>2013988.656</v>
      </c>
      <c r="M110" s="467">
        <f t="shared" ref="M110:M112" si="130">J110+L110</f>
        <v>2213988.656</v>
      </c>
      <c r="N110" s="467">
        <f t="shared" ref="N110:N112" si="131">F110+G110+H110+M110</f>
        <v>2801008.576</v>
      </c>
      <c r="O110" s="467">
        <f t="shared" ref="O110:O112" si="132">E110-N110</f>
        <v>7855954.624</v>
      </c>
      <c r="P110" s="467">
        <f t="shared" ref="P110:P112" si="133">IF(O110&lt;300000,0.07*O110,21000)</f>
        <v>21000</v>
      </c>
      <c r="Q110" s="467">
        <f t="shared" ref="Q110:Q112" si="134">IF((O110-300000)&lt;0,0,IF((O110-300000)&lt;300000,0.11*(O110-300000),33000))</f>
        <v>33000</v>
      </c>
      <c r="R110" s="467">
        <f t="shared" ref="R110:R112" si="135">IF((O110-600000)&lt;0,0,IF((O110-600000)&lt;500000,0.15*(O110-600000),75000))</f>
        <v>75000</v>
      </c>
      <c r="S110" s="467">
        <f t="shared" ref="S110:S112" si="136">IF((O110-1100000)&lt;0,0,IF((O110-1100000)&lt;500000,0.19*(O110-1100000),95000))</f>
        <v>95000</v>
      </c>
      <c r="T110" s="467">
        <f t="shared" ref="T110:T112" si="137">IF((O110-1600000)&lt;0,0,IF((O110-1600000)&lt;1600000,0.21*(O110-1600000),336000))</f>
        <v>336000</v>
      </c>
      <c r="U110" s="467">
        <f t="shared" ref="U110:U112" si="138">0.24*(O110-3200000)</f>
        <v>1117429.10976</v>
      </c>
      <c r="V110" s="467">
        <f t="shared" ref="V110:V112" si="139">P110+Q110+R110+S110+T110+U110</f>
        <v>1677429.10976</v>
      </c>
      <c r="W110" s="474">
        <v>12</v>
      </c>
      <c r="X110" s="467">
        <f t="shared" ref="X110:X112" si="140">V110/W110</f>
        <v>139785.759146667</v>
      </c>
      <c r="Y110" s="470"/>
      <c r="Z110" s="467">
        <f t="shared" ref="Z110:Z112" si="141">X110</f>
        <v>139785.759146667</v>
      </c>
      <c r="AA110" s="479">
        <v>77610.1169066667</v>
      </c>
      <c r="AB110" s="479">
        <f t="shared" ref="AB110:AB112" si="142">Z110-AA110</f>
        <v>62175.64224</v>
      </c>
      <c r="AC110" s="479"/>
      <c r="AD110" s="479"/>
      <c r="AE110" s="479"/>
    </row>
    <row r="111" ht="18" spans="1:31">
      <c r="A111" s="464">
        <v>93</v>
      </c>
      <c r="B111" s="11" t="s">
        <v>257</v>
      </c>
      <c r="C111" s="467">
        <v>487895.166666667</v>
      </c>
      <c r="D111" s="466">
        <v>12</v>
      </c>
      <c r="E111" s="467">
        <f t="shared" si="127"/>
        <v>5854742</v>
      </c>
      <c r="F111" s="467"/>
      <c r="G111" s="468">
        <v>362779.36</v>
      </c>
      <c r="H111" s="470"/>
      <c r="I111" s="467">
        <f t="shared" si="128"/>
        <v>5491962.64</v>
      </c>
      <c r="J111" s="467">
        <v>200000</v>
      </c>
      <c r="K111" s="467">
        <v>0.2</v>
      </c>
      <c r="L111" s="467">
        <f t="shared" si="129"/>
        <v>1098392.528</v>
      </c>
      <c r="M111" s="467">
        <f t="shared" si="130"/>
        <v>1298392.528</v>
      </c>
      <c r="N111" s="467">
        <f t="shared" si="131"/>
        <v>1661171.888</v>
      </c>
      <c r="O111" s="467">
        <f t="shared" si="132"/>
        <v>4193570.112</v>
      </c>
      <c r="P111" s="467">
        <f t="shared" si="133"/>
        <v>21000</v>
      </c>
      <c r="Q111" s="467">
        <f t="shared" si="134"/>
        <v>33000</v>
      </c>
      <c r="R111" s="467">
        <f t="shared" si="135"/>
        <v>75000</v>
      </c>
      <c r="S111" s="467">
        <f t="shared" si="136"/>
        <v>95000</v>
      </c>
      <c r="T111" s="467">
        <f t="shared" si="137"/>
        <v>336000</v>
      </c>
      <c r="U111" s="467">
        <f t="shared" si="138"/>
        <v>238456.826880001</v>
      </c>
      <c r="V111" s="467">
        <f t="shared" si="139"/>
        <v>798456.826880001</v>
      </c>
      <c r="W111" s="474">
        <v>12</v>
      </c>
      <c r="X111" s="467">
        <f t="shared" si="140"/>
        <v>66538.0689066667</v>
      </c>
      <c r="Y111" s="470"/>
      <c r="Z111" s="467">
        <f t="shared" si="141"/>
        <v>66538.0689066667</v>
      </c>
      <c r="AA111" s="479">
        <v>43368.8824146667</v>
      </c>
      <c r="AB111" s="479">
        <f t="shared" si="142"/>
        <v>23169.186492</v>
      </c>
      <c r="AC111" s="479"/>
      <c r="AD111" s="479"/>
      <c r="AE111" s="479"/>
    </row>
    <row r="112" ht="18" spans="1:31">
      <c r="A112" s="464">
        <v>94</v>
      </c>
      <c r="B112" s="11" t="s">
        <v>190</v>
      </c>
      <c r="C112" s="473">
        <v>450086.5</v>
      </c>
      <c r="D112" s="466">
        <v>12</v>
      </c>
      <c r="E112" s="467">
        <f t="shared" si="127"/>
        <v>5401038</v>
      </c>
      <c r="F112" s="467">
        <f>'[6]JANUARY 2024'!$V$117*12</f>
        <v>6919.455</v>
      </c>
      <c r="G112" s="468">
        <v>374483.04</v>
      </c>
      <c r="H112" s="470"/>
      <c r="I112" s="467">
        <f t="shared" si="128"/>
        <v>5019635.505</v>
      </c>
      <c r="J112" s="467">
        <v>200000</v>
      </c>
      <c r="K112" s="467">
        <v>0.2</v>
      </c>
      <c r="L112" s="467">
        <f t="shared" si="129"/>
        <v>1003927.101</v>
      </c>
      <c r="M112" s="467">
        <f t="shared" si="130"/>
        <v>1203927.101</v>
      </c>
      <c r="N112" s="467">
        <f t="shared" si="131"/>
        <v>1585329.596</v>
      </c>
      <c r="O112" s="467">
        <f t="shared" si="132"/>
        <v>3815708.404</v>
      </c>
      <c r="P112" s="467">
        <f t="shared" si="133"/>
        <v>21000</v>
      </c>
      <c r="Q112" s="467">
        <f t="shared" si="134"/>
        <v>33000</v>
      </c>
      <c r="R112" s="467">
        <f t="shared" si="135"/>
        <v>75000</v>
      </c>
      <c r="S112" s="467">
        <f t="shared" si="136"/>
        <v>95000</v>
      </c>
      <c r="T112" s="467">
        <f t="shared" si="137"/>
        <v>336000</v>
      </c>
      <c r="U112" s="467">
        <f t="shared" si="138"/>
        <v>147770.01696</v>
      </c>
      <c r="V112" s="467">
        <f t="shared" si="139"/>
        <v>707770.01696</v>
      </c>
      <c r="W112" s="474">
        <v>12</v>
      </c>
      <c r="X112" s="467">
        <f t="shared" si="140"/>
        <v>58980.8347466667</v>
      </c>
      <c r="Y112" s="470"/>
      <c r="Z112" s="467">
        <f t="shared" si="141"/>
        <v>58980.8347466667</v>
      </c>
      <c r="AA112" s="479">
        <v>35221.9540866667</v>
      </c>
      <c r="AB112" s="479">
        <f t="shared" si="142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279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280</v>
      </c>
      <c r="C116" s="467">
        <v>1635720</v>
      </c>
      <c r="D116" s="466">
        <v>12</v>
      </c>
      <c r="E116" s="467">
        <f t="shared" ref="E116:E125" si="143"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44">E116-F116-G116-H116</f>
        <v>18225826.794</v>
      </c>
      <c r="J116" s="467">
        <v>200000</v>
      </c>
      <c r="K116" s="467">
        <v>0.2</v>
      </c>
      <c r="L116" s="467">
        <f t="shared" ref="L116:L125" si="145">I116*K116</f>
        <v>3645165.3588</v>
      </c>
      <c r="M116" s="467">
        <f t="shared" ref="M116:M125" si="146">J116+L116</f>
        <v>3845165.3588</v>
      </c>
      <c r="N116" s="467">
        <f t="shared" ref="N116:N125" si="147">F116+G116+H116+M116</f>
        <v>5247978.5648</v>
      </c>
      <c r="O116" s="467">
        <f t="shared" ref="O116:O125" si="148">E116-N116</f>
        <v>14380661.4352</v>
      </c>
      <c r="P116" s="467">
        <f t="shared" ref="P116:P125" si="149">IF(O116&lt;300000,0.07*O116,21000)</f>
        <v>21000</v>
      </c>
      <c r="Q116" s="467">
        <f t="shared" ref="Q116:Q125" si="150">IF((O116-300000)&lt;0,0,IF((O116-300000)&lt;300000,0.11*(O116-300000),33000))</f>
        <v>33000</v>
      </c>
      <c r="R116" s="467">
        <f t="shared" ref="R116:R125" si="151">IF((O116-600000)&lt;0,0,IF((O116-600000)&lt;500000,0.15*(O116-600000),75000))</f>
        <v>75000</v>
      </c>
      <c r="S116" s="467">
        <f t="shared" ref="S116:S125" si="152">IF((O116-1100000)&lt;0,0,IF((O116-1100000)&lt;500000,0.19*(O116-1100000),95000))</f>
        <v>95000</v>
      </c>
      <c r="T116" s="467">
        <f t="shared" ref="T116:T125" si="153">IF((O116-1600000)&lt;0,0,IF((O116-1600000)&lt;1600000,0.21*(O116-1600000),336000))</f>
        <v>336000</v>
      </c>
      <c r="U116" s="467">
        <f t="shared" ref="U116:U122" si="154">0.24*(O116-3200000)</f>
        <v>2683358.744448</v>
      </c>
      <c r="V116" s="467">
        <f t="shared" ref="V116:V125" si="155">P116+Q116+R116+S116+T116+U116</f>
        <v>3243358.744448</v>
      </c>
      <c r="W116" s="474">
        <v>12</v>
      </c>
      <c r="X116" s="467">
        <f t="shared" ref="X116:X125" si="156">V116/W116</f>
        <v>270279.895370667</v>
      </c>
      <c r="Y116" s="470"/>
      <c r="Z116" s="467">
        <f t="shared" ref="Z116:Z125" si="157">X116</f>
        <v>270279.895370667</v>
      </c>
      <c r="AA116" s="479">
        <v>179914.454762667</v>
      </c>
      <c r="AB116" s="479">
        <f t="shared" ref="AB116:AB125" si="158"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282</v>
      </c>
      <c r="C117" s="467">
        <v>929203.583333333</v>
      </c>
      <c r="D117" s="466">
        <v>12</v>
      </c>
      <c r="E117" s="467">
        <f t="shared" si="143"/>
        <v>11150443</v>
      </c>
      <c r="F117" s="467">
        <f>9980.56666666667*12</f>
        <v>119766.8</v>
      </c>
      <c r="G117" s="468">
        <v>709635.44</v>
      </c>
      <c r="H117" s="470"/>
      <c r="I117" s="467">
        <f t="shared" si="144"/>
        <v>10321040.76</v>
      </c>
      <c r="J117" s="467">
        <v>200000</v>
      </c>
      <c r="K117" s="467">
        <v>0.2</v>
      </c>
      <c r="L117" s="467">
        <f t="shared" si="145"/>
        <v>2064208.152</v>
      </c>
      <c r="M117" s="467">
        <f t="shared" si="146"/>
        <v>2264208.152</v>
      </c>
      <c r="N117" s="467">
        <f t="shared" si="147"/>
        <v>3093610.392</v>
      </c>
      <c r="O117" s="467">
        <f t="shared" si="148"/>
        <v>8056832.608</v>
      </c>
      <c r="P117" s="467">
        <f t="shared" si="149"/>
        <v>21000</v>
      </c>
      <c r="Q117" s="467">
        <f t="shared" si="150"/>
        <v>33000</v>
      </c>
      <c r="R117" s="467">
        <f t="shared" si="151"/>
        <v>75000</v>
      </c>
      <c r="S117" s="467">
        <f t="shared" si="152"/>
        <v>95000</v>
      </c>
      <c r="T117" s="467">
        <f t="shared" si="153"/>
        <v>336000</v>
      </c>
      <c r="U117" s="467">
        <f t="shared" si="154"/>
        <v>1165639.82592</v>
      </c>
      <c r="V117" s="467">
        <f t="shared" si="155"/>
        <v>1725639.82592</v>
      </c>
      <c r="W117" s="474">
        <v>12</v>
      </c>
      <c r="X117" s="467">
        <f t="shared" si="156"/>
        <v>143803.318826667</v>
      </c>
      <c r="Y117" s="470"/>
      <c r="Z117" s="467">
        <f t="shared" si="157"/>
        <v>143803.318826667</v>
      </c>
      <c r="AA117" s="479">
        <v>98995.9569386667</v>
      </c>
      <c r="AB117" s="479">
        <f t="shared" si="158"/>
        <v>44807.3618879999</v>
      </c>
      <c r="AC117" s="479"/>
      <c r="AD117" s="479"/>
      <c r="AE117" s="479"/>
    </row>
    <row r="118" ht="18" spans="1:31">
      <c r="A118" s="464"/>
      <c r="B118" s="14" t="s">
        <v>284</v>
      </c>
      <c r="C118" s="467">
        <v>936034</v>
      </c>
      <c r="D118" s="466">
        <v>12</v>
      </c>
      <c r="E118" s="467">
        <f t="shared" si="143"/>
        <v>11232408</v>
      </c>
      <c r="F118" s="467">
        <f>9678.96*12</f>
        <v>116147.52</v>
      </c>
      <c r="G118" s="468">
        <v>709636.44</v>
      </c>
      <c r="H118" s="470"/>
      <c r="I118" s="467">
        <f t="shared" si="144"/>
        <v>10406624.04</v>
      </c>
      <c r="J118" s="467">
        <v>200000</v>
      </c>
      <c r="K118" s="467">
        <v>0.2</v>
      </c>
      <c r="L118" s="467">
        <f t="shared" si="145"/>
        <v>2081324.808</v>
      </c>
      <c r="M118" s="467">
        <f t="shared" si="146"/>
        <v>2281324.808</v>
      </c>
      <c r="N118" s="467">
        <f t="shared" si="147"/>
        <v>3107108.768</v>
      </c>
      <c r="O118" s="467">
        <f t="shared" si="148"/>
        <v>8125299.232</v>
      </c>
      <c r="P118" s="467">
        <f t="shared" si="149"/>
        <v>21000</v>
      </c>
      <c r="Q118" s="467">
        <f t="shared" si="150"/>
        <v>33000</v>
      </c>
      <c r="R118" s="467">
        <f t="shared" si="151"/>
        <v>75000</v>
      </c>
      <c r="S118" s="467">
        <f t="shared" si="152"/>
        <v>95000</v>
      </c>
      <c r="T118" s="467">
        <f t="shared" si="153"/>
        <v>336000</v>
      </c>
      <c r="U118" s="467">
        <f t="shared" si="154"/>
        <v>1182071.81568</v>
      </c>
      <c r="V118" s="467">
        <f t="shared" si="155"/>
        <v>1742071.81568</v>
      </c>
      <c r="W118" s="474">
        <v>12</v>
      </c>
      <c r="X118" s="467">
        <f t="shared" si="156"/>
        <v>145172.651306667</v>
      </c>
      <c r="Y118" s="470"/>
      <c r="Z118" s="467">
        <f t="shared" si="157"/>
        <v>145172.651306667</v>
      </c>
      <c r="AA118" s="479">
        <v>89396.1031466666</v>
      </c>
      <c r="AB118" s="479">
        <f t="shared" si="158"/>
        <v>55776.5481600001</v>
      </c>
      <c r="AC118" s="479"/>
      <c r="AD118" s="479"/>
      <c r="AE118" s="479"/>
    </row>
    <row r="119" ht="18" spans="1:31">
      <c r="A119" s="464"/>
      <c r="B119" s="14" t="s">
        <v>855</v>
      </c>
      <c r="C119" s="467">
        <v>662118.083333333</v>
      </c>
      <c r="D119" s="466">
        <v>12</v>
      </c>
      <c r="E119" s="467">
        <f t="shared" si="143"/>
        <v>7945417</v>
      </c>
      <c r="F119" s="467"/>
      <c r="G119" s="468">
        <v>0</v>
      </c>
      <c r="H119" s="470"/>
      <c r="I119" s="467">
        <f t="shared" si="144"/>
        <v>7945417</v>
      </c>
      <c r="J119" s="467">
        <v>200000</v>
      </c>
      <c r="K119" s="467">
        <v>0.2</v>
      </c>
      <c r="L119" s="467">
        <f t="shared" si="145"/>
        <v>1589083.4</v>
      </c>
      <c r="M119" s="467">
        <f t="shared" si="146"/>
        <v>1789083.4</v>
      </c>
      <c r="N119" s="467">
        <f t="shared" si="147"/>
        <v>1789083.4</v>
      </c>
      <c r="O119" s="467">
        <f t="shared" si="148"/>
        <v>6156333.6</v>
      </c>
      <c r="P119" s="467">
        <f t="shared" si="149"/>
        <v>21000</v>
      </c>
      <c r="Q119" s="467">
        <f t="shared" si="150"/>
        <v>33000</v>
      </c>
      <c r="R119" s="467">
        <f t="shared" si="151"/>
        <v>75000</v>
      </c>
      <c r="S119" s="467">
        <f t="shared" si="152"/>
        <v>95000</v>
      </c>
      <c r="T119" s="467">
        <f t="shared" si="153"/>
        <v>336000</v>
      </c>
      <c r="U119" s="467">
        <f t="shared" si="154"/>
        <v>709520.063999999</v>
      </c>
      <c r="V119" s="467">
        <f t="shared" si="155"/>
        <v>1269520.064</v>
      </c>
      <c r="W119" s="474">
        <v>12</v>
      </c>
      <c r="X119" s="467">
        <f t="shared" si="156"/>
        <v>105793.338666667</v>
      </c>
      <c r="Y119" s="470"/>
      <c r="Z119" s="467">
        <f t="shared" si="157"/>
        <v>105793.338666667</v>
      </c>
      <c r="AA119" s="479">
        <v>60214.6772906667</v>
      </c>
      <c r="AB119" s="479">
        <f t="shared" si="158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287</v>
      </c>
      <c r="C120" s="467">
        <v>540498</v>
      </c>
      <c r="D120" s="466">
        <v>12</v>
      </c>
      <c r="E120" s="467">
        <f t="shared" si="143"/>
        <v>6485976</v>
      </c>
      <c r="F120" s="467"/>
      <c r="G120" s="468">
        <v>451678.08</v>
      </c>
      <c r="H120" s="470"/>
      <c r="I120" s="467">
        <f t="shared" si="144"/>
        <v>6034297.92</v>
      </c>
      <c r="J120" s="467">
        <v>200000</v>
      </c>
      <c r="K120" s="467">
        <v>0.2</v>
      </c>
      <c r="L120" s="467">
        <f t="shared" si="145"/>
        <v>1206859.584</v>
      </c>
      <c r="M120" s="467">
        <f t="shared" si="146"/>
        <v>1406859.584</v>
      </c>
      <c r="N120" s="467">
        <f t="shared" si="147"/>
        <v>1858537.664</v>
      </c>
      <c r="O120" s="467">
        <f t="shared" si="148"/>
        <v>4627438.336</v>
      </c>
      <c r="P120" s="467">
        <f t="shared" si="149"/>
        <v>21000</v>
      </c>
      <c r="Q120" s="467">
        <f t="shared" si="150"/>
        <v>33000</v>
      </c>
      <c r="R120" s="467">
        <f t="shared" si="151"/>
        <v>75000</v>
      </c>
      <c r="S120" s="467">
        <f t="shared" si="152"/>
        <v>95000</v>
      </c>
      <c r="T120" s="467">
        <f t="shared" si="153"/>
        <v>336000</v>
      </c>
      <c r="U120" s="467">
        <f t="shared" si="154"/>
        <v>342585.20064</v>
      </c>
      <c r="V120" s="467">
        <f t="shared" si="155"/>
        <v>902585.20064</v>
      </c>
      <c r="W120" s="474">
        <v>12</v>
      </c>
      <c r="X120" s="467">
        <f t="shared" si="156"/>
        <v>75215.4333866667</v>
      </c>
      <c r="Y120" s="470"/>
      <c r="Z120" s="467">
        <f t="shared" si="157"/>
        <v>75215.4333866667</v>
      </c>
      <c r="AA120" s="479">
        <v>44846.6165886667</v>
      </c>
      <c r="AB120" s="479">
        <f t="shared" si="158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288</v>
      </c>
      <c r="C121" s="467">
        <v>512746.5</v>
      </c>
      <c r="D121" s="466">
        <v>12</v>
      </c>
      <c r="E121" s="467">
        <f t="shared" si="143"/>
        <v>6152958</v>
      </c>
      <c r="F121" s="473">
        <f>646.3525*12</f>
        <v>7756.23</v>
      </c>
      <c r="G121" s="468">
        <v>425036.64</v>
      </c>
      <c r="H121" s="470"/>
      <c r="I121" s="467">
        <f t="shared" si="144"/>
        <v>5720165.13</v>
      </c>
      <c r="J121" s="467">
        <v>200000</v>
      </c>
      <c r="K121" s="467">
        <v>0.2</v>
      </c>
      <c r="L121" s="467">
        <f t="shared" si="145"/>
        <v>1144033.026</v>
      </c>
      <c r="M121" s="467">
        <f t="shared" si="146"/>
        <v>1344033.026</v>
      </c>
      <c r="N121" s="467">
        <f t="shared" si="147"/>
        <v>1776825.896</v>
      </c>
      <c r="O121" s="467">
        <f t="shared" si="148"/>
        <v>4376132.104</v>
      </c>
      <c r="P121" s="467">
        <f t="shared" si="149"/>
        <v>21000</v>
      </c>
      <c r="Q121" s="467">
        <f t="shared" si="150"/>
        <v>33000</v>
      </c>
      <c r="R121" s="467">
        <f t="shared" si="151"/>
        <v>75000</v>
      </c>
      <c r="S121" s="467">
        <f t="shared" si="152"/>
        <v>95000</v>
      </c>
      <c r="T121" s="467">
        <f t="shared" si="153"/>
        <v>336000</v>
      </c>
      <c r="U121" s="467">
        <f t="shared" si="154"/>
        <v>282271.70496</v>
      </c>
      <c r="V121" s="467">
        <f t="shared" si="155"/>
        <v>842271.70496</v>
      </c>
      <c r="W121" s="474">
        <v>12</v>
      </c>
      <c r="X121" s="467">
        <f t="shared" si="156"/>
        <v>70189.3087466667</v>
      </c>
      <c r="Y121" s="470"/>
      <c r="Z121" s="467">
        <f t="shared" si="157"/>
        <v>70189.3087466667</v>
      </c>
      <c r="AA121" s="479">
        <v>42029.5891866667</v>
      </c>
      <c r="AB121" s="479">
        <f t="shared" si="158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290</v>
      </c>
      <c r="C122" s="467">
        <v>526622.25</v>
      </c>
      <c r="D122" s="466">
        <v>12</v>
      </c>
      <c r="E122" s="467">
        <f t="shared" si="143"/>
        <v>6319467</v>
      </c>
      <c r="F122" s="473">
        <f>668.31625*12</f>
        <v>8019.795</v>
      </c>
      <c r="G122" s="468">
        <v>438357.36</v>
      </c>
      <c r="H122" s="470"/>
      <c r="I122" s="467">
        <f t="shared" si="144"/>
        <v>5873089.845</v>
      </c>
      <c r="J122" s="467">
        <v>200000</v>
      </c>
      <c r="K122" s="467">
        <v>0.2</v>
      </c>
      <c r="L122" s="467">
        <f t="shared" si="145"/>
        <v>1174617.969</v>
      </c>
      <c r="M122" s="467">
        <f t="shared" si="146"/>
        <v>1374617.969</v>
      </c>
      <c r="N122" s="467">
        <f t="shared" si="147"/>
        <v>1820995.124</v>
      </c>
      <c r="O122" s="467">
        <f t="shared" si="148"/>
        <v>4498471.876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311633.25024</v>
      </c>
      <c r="V122" s="467">
        <f t="shared" si="155"/>
        <v>871633.25024</v>
      </c>
      <c r="W122" s="474">
        <v>12</v>
      </c>
      <c r="X122" s="467">
        <f t="shared" si="156"/>
        <v>72636.1041866667</v>
      </c>
      <c r="Y122" s="470"/>
      <c r="Z122" s="467">
        <f t="shared" si="157"/>
        <v>72636.1041866667</v>
      </c>
      <c r="AA122" s="479">
        <v>43380.0962466667</v>
      </c>
      <c r="AB122" s="479">
        <f t="shared" si="158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293</v>
      </c>
      <c r="C123" s="467">
        <v>330481.666666667</v>
      </c>
      <c r="D123" s="466">
        <v>12</v>
      </c>
      <c r="E123" s="467">
        <f t="shared" si="143"/>
        <v>3965780</v>
      </c>
      <c r="F123" s="467"/>
      <c r="G123" s="468">
        <v>259662.4</v>
      </c>
      <c r="H123" s="470"/>
      <c r="I123" s="467">
        <f t="shared" si="144"/>
        <v>3706117.6</v>
      </c>
      <c r="J123" s="467">
        <v>200000</v>
      </c>
      <c r="K123" s="467">
        <v>0.2</v>
      </c>
      <c r="L123" s="467">
        <f t="shared" si="145"/>
        <v>741223.520000001</v>
      </c>
      <c r="M123" s="467">
        <f t="shared" si="146"/>
        <v>941223.520000001</v>
      </c>
      <c r="N123" s="467">
        <f t="shared" si="147"/>
        <v>1200885.92</v>
      </c>
      <c r="O123" s="467">
        <f t="shared" si="148"/>
        <v>2764894.08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244627.756800001</v>
      </c>
      <c r="U123" s="467"/>
      <c r="V123" s="467">
        <f t="shared" si="155"/>
        <v>468627.756800001</v>
      </c>
      <c r="W123" s="474">
        <v>12</v>
      </c>
      <c r="X123" s="467">
        <f t="shared" si="156"/>
        <v>39052.3130666667</v>
      </c>
      <c r="Y123" s="470"/>
      <c r="Z123" s="467">
        <f t="shared" si="157"/>
        <v>39052.3130666667</v>
      </c>
      <c r="AA123" s="479">
        <v>23036.0123466667</v>
      </c>
      <c r="AB123" s="479">
        <f t="shared" si="158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295</v>
      </c>
      <c r="C124" s="467">
        <v>274459.75</v>
      </c>
      <c r="D124" s="466">
        <v>12</v>
      </c>
      <c r="E124" s="467">
        <f t="shared" si="143"/>
        <v>3293517</v>
      </c>
      <c r="F124" s="467"/>
      <c r="G124" s="468">
        <v>215481.36</v>
      </c>
      <c r="H124" s="470"/>
      <c r="I124" s="467">
        <f t="shared" si="144"/>
        <v>3078035.64</v>
      </c>
      <c r="J124" s="467">
        <v>200000</v>
      </c>
      <c r="K124" s="467">
        <v>0.2</v>
      </c>
      <c r="L124" s="467">
        <f t="shared" si="145"/>
        <v>615607.128</v>
      </c>
      <c r="M124" s="467">
        <f t="shared" si="146"/>
        <v>815607.128</v>
      </c>
      <c r="N124" s="467">
        <f t="shared" si="147"/>
        <v>1031088.488</v>
      </c>
      <c r="O124" s="467">
        <f t="shared" si="148"/>
        <v>2262428.512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139109.98752</v>
      </c>
      <c r="U124" s="467"/>
      <c r="V124" s="467">
        <f t="shared" si="155"/>
        <v>363109.98752</v>
      </c>
      <c r="W124" s="474">
        <v>12</v>
      </c>
      <c r="X124" s="467">
        <f t="shared" si="156"/>
        <v>30259.1656266667</v>
      </c>
      <c r="Y124" s="470"/>
      <c r="Z124" s="467">
        <f t="shared" si="157"/>
        <v>30259.1656266667</v>
      </c>
      <c r="AA124" s="479">
        <v>17042.7138666667</v>
      </c>
      <c r="AB124" s="479">
        <f t="shared" si="158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297</v>
      </c>
      <c r="C125" s="467">
        <v>274459.75</v>
      </c>
      <c r="D125" s="466">
        <v>12</v>
      </c>
      <c r="E125" s="467">
        <f t="shared" si="143"/>
        <v>3293517</v>
      </c>
      <c r="F125" s="467"/>
      <c r="G125" s="468">
        <v>215481.36</v>
      </c>
      <c r="H125" s="470"/>
      <c r="I125" s="467">
        <f t="shared" si="144"/>
        <v>3078035.64</v>
      </c>
      <c r="J125" s="467">
        <v>200000</v>
      </c>
      <c r="K125" s="467">
        <v>0.2</v>
      </c>
      <c r="L125" s="467">
        <f t="shared" si="145"/>
        <v>615607.128</v>
      </c>
      <c r="M125" s="467">
        <f t="shared" si="146"/>
        <v>815607.128</v>
      </c>
      <c r="N125" s="467">
        <f t="shared" si="147"/>
        <v>1031088.488</v>
      </c>
      <c r="O125" s="467">
        <f t="shared" si="148"/>
        <v>2262428.512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139109.98752</v>
      </c>
      <c r="U125" s="467"/>
      <c r="V125" s="467">
        <f t="shared" si="155"/>
        <v>363109.98752</v>
      </c>
      <c r="W125" s="474">
        <v>12</v>
      </c>
      <c r="X125" s="467">
        <f t="shared" si="156"/>
        <v>30259.1656266667</v>
      </c>
      <c r="Y125" s="470"/>
      <c r="Z125" s="467">
        <f t="shared" si="157"/>
        <v>30259.1656266667</v>
      </c>
      <c r="AA125" s="479">
        <v>17042.7138666667</v>
      </c>
      <c r="AB125" s="479">
        <f t="shared" si="158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120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300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856</v>
      </c>
      <c r="C129" s="467">
        <v>1535720</v>
      </c>
      <c r="D129" s="466">
        <v>12</v>
      </c>
      <c r="E129" s="467">
        <f t="shared" ref="E129:E187" si="159">C129*D129</f>
        <v>18428640</v>
      </c>
      <c r="F129" s="467"/>
      <c r="G129" s="468">
        <v>1378291.2</v>
      </c>
      <c r="H129" s="470"/>
      <c r="I129" s="467">
        <f t="shared" ref="I129:I187" si="160">E129-F129-G129-H129</f>
        <v>17050348.8</v>
      </c>
      <c r="J129" s="467">
        <v>200000</v>
      </c>
      <c r="K129" s="467">
        <v>0.2</v>
      </c>
      <c r="L129" s="467">
        <f t="shared" ref="L129:L187" si="161">I129*K129</f>
        <v>3410069.76</v>
      </c>
      <c r="M129" s="467">
        <f t="shared" ref="M129:M187" si="162">J129+L129</f>
        <v>3610069.76</v>
      </c>
      <c r="N129" s="467">
        <f t="shared" ref="N129:N187" si="163">F129+G129+H129+M129</f>
        <v>4988360.96</v>
      </c>
      <c r="O129" s="467">
        <f t="shared" ref="O129:O187" si="164">E129-N129</f>
        <v>13440279.04</v>
      </c>
      <c r="P129" s="467">
        <f t="shared" ref="P129:P187" si="165">IF(O129&lt;300000,0.07*O129,21000)</f>
        <v>21000</v>
      </c>
      <c r="Q129" s="467">
        <f t="shared" ref="Q129:Q187" si="166">IF((O129-300000)&lt;0,0,IF((O129-300000)&lt;300000,0.11*(O129-300000),33000))</f>
        <v>33000</v>
      </c>
      <c r="R129" s="467">
        <f t="shared" ref="R129:R187" si="167">IF((O129-600000)&lt;0,0,IF((O129-600000)&lt;500000,0.15*(O129-600000),75000))</f>
        <v>75000</v>
      </c>
      <c r="S129" s="467">
        <f t="shared" ref="S129:S187" si="168">IF((O129-1100000)&lt;0,0,IF((O129-1100000)&lt;500000,0.19*(O129-1100000),95000))</f>
        <v>95000</v>
      </c>
      <c r="T129" s="467">
        <f t="shared" ref="T129:T187" si="169">IF((O129-1600000)&lt;0,0,IF((O129-1600000)&lt;1600000,0.21*(O129-1600000),336000))</f>
        <v>336000</v>
      </c>
      <c r="U129" s="467">
        <f t="shared" ref="U129:U141" si="170">0.24*(O129-3200000)</f>
        <v>2457666.9696</v>
      </c>
      <c r="V129" s="467">
        <f t="shared" ref="V129:V187" si="171">P129+Q129+R129+S129+T129+U129</f>
        <v>3017666.9696</v>
      </c>
      <c r="W129" s="474">
        <v>12</v>
      </c>
      <c r="X129" s="467">
        <f t="shared" ref="X129:X187" si="172">V129/W129</f>
        <v>251472.247466667</v>
      </c>
      <c r="Y129" s="470"/>
      <c r="Z129" s="467">
        <f t="shared" ref="Z129:Z187" si="173">X129</f>
        <v>251472.247466667</v>
      </c>
      <c r="AA129" s="479">
        <v>161106.806858667</v>
      </c>
      <c r="AB129" s="479">
        <f t="shared" ref="AB129:AB187" si="174"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858</v>
      </c>
      <c r="C130" s="467">
        <v>852373.166666667</v>
      </c>
      <c r="D130" s="466">
        <v>12</v>
      </c>
      <c r="E130" s="467">
        <f t="shared" si="159"/>
        <v>10228478</v>
      </c>
      <c r="F130" s="467"/>
      <c r="G130" s="468">
        <v>0</v>
      </c>
      <c r="H130" s="470"/>
      <c r="I130" s="467">
        <f t="shared" si="160"/>
        <v>10228478</v>
      </c>
      <c r="J130" s="467">
        <v>200000</v>
      </c>
      <c r="K130" s="467">
        <v>0.2</v>
      </c>
      <c r="L130" s="467">
        <f t="shared" si="161"/>
        <v>2045695.6</v>
      </c>
      <c r="M130" s="467">
        <f t="shared" si="162"/>
        <v>2245695.6</v>
      </c>
      <c r="N130" s="467">
        <f t="shared" si="163"/>
        <v>2245695.6</v>
      </c>
      <c r="O130" s="467">
        <f t="shared" si="164"/>
        <v>7982782.4</v>
      </c>
      <c r="P130" s="467">
        <f t="shared" si="165"/>
        <v>21000</v>
      </c>
      <c r="Q130" s="467">
        <f t="shared" si="166"/>
        <v>33000</v>
      </c>
      <c r="R130" s="467">
        <f t="shared" si="167"/>
        <v>75000</v>
      </c>
      <c r="S130" s="467">
        <f t="shared" si="168"/>
        <v>95000</v>
      </c>
      <c r="T130" s="467">
        <f t="shared" si="169"/>
        <v>336000</v>
      </c>
      <c r="U130" s="467">
        <f t="shared" si="170"/>
        <v>1147867.776</v>
      </c>
      <c r="V130" s="467">
        <f t="shared" si="171"/>
        <v>1707867.776</v>
      </c>
      <c r="W130" s="474">
        <v>12</v>
      </c>
      <c r="X130" s="467">
        <f t="shared" si="172"/>
        <v>142322.314666667</v>
      </c>
      <c r="Y130" s="470"/>
      <c r="Z130" s="467">
        <f t="shared" si="173"/>
        <v>142322.314666667</v>
      </c>
      <c r="AA130" s="479">
        <v>82627.9514186667</v>
      </c>
      <c r="AB130" s="479">
        <f t="shared" si="174"/>
        <v>59694.363248</v>
      </c>
      <c r="AC130" s="479"/>
      <c r="AD130" s="479"/>
      <c r="AE130" s="479"/>
    </row>
    <row r="131" ht="18" spans="1:31">
      <c r="A131" s="464">
        <v>114</v>
      </c>
      <c r="B131" s="14" t="s">
        <v>304</v>
      </c>
      <c r="C131" s="467">
        <v>902373.166666667</v>
      </c>
      <c r="D131" s="466">
        <v>12</v>
      </c>
      <c r="E131" s="467">
        <f t="shared" si="159"/>
        <v>10828478</v>
      </c>
      <c r="F131" s="467">
        <f>1066.32925*12</f>
        <v>12795.951</v>
      </c>
      <c r="G131" s="468">
        <v>731878.24</v>
      </c>
      <c r="H131" s="470"/>
      <c r="I131" s="467">
        <f t="shared" si="160"/>
        <v>10083803.809</v>
      </c>
      <c r="J131" s="467">
        <v>200000</v>
      </c>
      <c r="K131" s="467">
        <v>0.2</v>
      </c>
      <c r="L131" s="467">
        <f t="shared" si="161"/>
        <v>2016760.7618</v>
      </c>
      <c r="M131" s="467">
        <f t="shared" si="162"/>
        <v>2216760.7618</v>
      </c>
      <c r="N131" s="467">
        <f t="shared" si="163"/>
        <v>2961434.9528</v>
      </c>
      <c r="O131" s="467">
        <f t="shared" si="164"/>
        <v>7867043.0472</v>
      </c>
      <c r="P131" s="467">
        <f t="shared" si="165"/>
        <v>21000</v>
      </c>
      <c r="Q131" s="467">
        <f t="shared" si="166"/>
        <v>33000</v>
      </c>
      <c r="R131" s="467">
        <f t="shared" si="167"/>
        <v>75000</v>
      </c>
      <c r="S131" s="467">
        <f t="shared" si="168"/>
        <v>95000</v>
      </c>
      <c r="T131" s="467">
        <f t="shared" si="169"/>
        <v>336000</v>
      </c>
      <c r="U131" s="467">
        <f t="shared" si="170"/>
        <v>1120090.331328</v>
      </c>
      <c r="V131" s="467">
        <f t="shared" si="171"/>
        <v>1680090.331328</v>
      </c>
      <c r="W131" s="474">
        <v>12</v>
      </c>
      <c r="X131" s="467">
        <f t="shared" si="172"/>
        <v>140007.527610667</v>
      </c>
      <c r="Y131" s="470"/>
      <c r="Z131" s="467">
        <f t="shared" si="173"/>
        <v>140007.527610667</v>
      </c>
      <c r="AA131" s="479">
        <v>92023.2162026667</v>
      </c>
      <c r="AB131" s="479">
        <f t="shared" si="17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306</v>
      </c>
      <c r="C132" s="467">
        <v>554373.75</v>
      </c>
      <c r="D132" s="466">
        <v>12</v>
      </c>
      <c r="E132" s="467">
        <f t="shared" si="159"/>
        <v>6652485</v>
      </c>
      <c r="F132" s="467">
        <f t="shared" ref="F132:F134" si="175">712.24525*12</f>
        <v>8546.943</v>
      </c>
      <c r="G132" s="468">
        <v>464998.8</v>
      </c>
      <c r="H132" s="470"/>
      <c r="I132" s="467">
        <f t="shared" si="160"/>
        <v>6178939.257</v>
      </c>
      <c r="J132" s="467">
        <v>200000</v>
      </c>
      <c r="K132" s="467">
        <v>0.2</v>
      </c>
      <c r="L132" s="467">
        <f t="shared" si="161"/>
        <v>1235787.8514</v>
      </c>
      <c r="M132" s="467">
        <f t="shared" si="162"/>
        <v>1435787.8514</v>
      </c>
      <c r="N132" s="467">
        <f t="shared" si="163"/>
        <v>1909333.5944</v>
      </c>
      <c r="O132" s="467">
        <f t="shared" si="164"/>
        <v>4743151.4056</v>
      </c>
      <c r="P132" s="467">
        <f t="shared" si="165"/>
        <v>21000</v>
      </c>
      <c r="Q132" s="467">
        <f t="shared" si="166"/>
        <v>33000</v>
      </c>
      <c r="R132" s="467">
        <f t="shared" si="167"/>
        <v>75000</v>
      </c>
      <c r="S132" s="467">
        <f t="shared" si="168"/>
        <v>95000</v>
      </c>
      <c r="T132" s="467">
        <f t="shared" si="169"/>
        <v>336000</v>
      </c>
      <c r="U132" s="467">
        <f t="shared" si="170"/>
        <v>370356.337344</v>
      </c>
      <c r="V132" s="467">
        <f t="shared" si="171"/>
        <v>930356.337344</v>
      </c>
      <c r="W132" s="474">
        <v>12</v>
      </c>
      <c r="X132" s="467">
        <f t="shared" si="172"/>
        <v>77529.6947786667</v>
      </c>
      <c r="Y132" s="470"/>
      <c r="Z132" s="467">
        <f t="shared" si="173"/>
        <v>77529.6947786667</v>
      </c>
      <c r="AA132" s="479">
        <v>46081.2025986667</v>
      </c>
      <c r="AB132" s="479">
        <f t="shared" si="17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308</v>
      </c>
      <c r="C133" s="467">
        <v>554373.75</v>
      </c>
      <c r="D133" s="466">
        <v>12</v>
      </c>
      <c r="E133" s="467">
        <f t="shared" si="159"/>
        <v>6652485</v>
      </c>
      <c r="F133" s="467">
        <f t="shared" si="175"/>
        <v>8546.943</v>
      </c>
      <c r="G133" s="468">
        <v>464998.8</v>
      </c>
      <c r="H133" s="470"/>
      <c r="I133" s="467">
        <f t="shared" si="160"/>
        <v>6178939.257</v>
      </c>
      <c r="J133" s="467">
        <v>200000</v>
      </c>
      <c r="K133" s="467">
        <v>0.2</v>
      </c>
      <c r="L133" s="467">
        <f t="shared" si="161"/>
        <v>1235787.8514</v>
      </c>
      <c r="M133" s="467">
        <f t="shared" si="162"/>
        <v>1435787.8514</v>
      </c>
      <c r="N133" s="467">
        <f t="shared" si="163"/>
        <v>1909333.5944</v>
      </c>
      <c r="O133" s="467">
        <f t="shared" si="164"/>
        <v>4743151.4056</v>
      </c>
      <c r="P133" s="467">
        <f t="shared" si="165"/>
        <v>21000</v>
      </c>
      <c r="Q133" s="467">
        <f t="shared" si="166"/>
        <v>33000</v>
      </c>
      <c r="R133" s="467">
        <f t="shared" si="167"/>
        <v>75000</v>
      </c>
      <c r="S133" s="467">
        <f t="shared" si="168"/>
        <v>95000</v>
      </c>
      <c r="T133" s="467">
        <f t="shared" si="169"/>
        <v>336000</v>
      </c>
      <c r="U133" s="467">
        <f t="shared" si="170"/>
        <v>370356.337344</v>
      </c>
      <c r="V133" s="467">
        <f t="shared" si="171"/>
        <v>930356.337344</v>
      </c>
      <c r="W133" s="474">
        <v>12</v>
      </c>
      <c r="X133" s="467">
        <f t="shared" si="172"/>
        <v>77529.6947786667</v>
      </c>
      <c r="Y133" s="470"/>
      <c r="Z133" s="467">
        <f t="shared" si="173"/>
        <v>77529.6947786667</v>
      </c>
      <c r="AA133" s="479">
        <v>46081.2025986667</v>
      </c>
      <c r="AB133" s="479">
        <f t="shared" si="17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310</v>
      </c>
      <c r="C134" s="467">
        <v>554373.75</v>
      </c>
      <c r="D134" s="466">
        <v>12</v>
      </c>
      <c r="E134" s="467">
        <f t="shared" si="159"/>
        <v>6652485</v>
      </c>
      <c r="F134" s="467">
        <f t="shared" si="175"/>
        <v>8546.943</v>
      </c>
      <c r="G134" s="468">
        <v>464998.8</v>
      </c>
      <c r="H134" s="470"/>
      <c r="I134" s="467">
        <f t="shared" si="160"/>
        <v>6178939.257</v>
      </c>
      <c r="J134" s="467">
        <v>200000</v>
      </c>
      <c r="K134" s="467">
        <v>0.2</v>
      </c>
      <c r="L134" s="467">
        <f t="shared" si="161"/>
        <v>1235787.8514</v>
      </c>
      <c r="M134" s="467">
        <f t="shared" si="162"/>
        <v>1435787.8514</v>
      </c>
      <c r="N134" s="467">
        <f t="shared" si="163"/>
        <v>1909333.5944</v>
      </c>
      <c r="O134" s="467">
        <f t="shared" si="164"/>
        <v>4743151.4056</v>
      </c>
      <c r="P134" s="467">
        <f t="shared" si="165"/>
        <v>21000</v>
      </c>
      <c r="Q134" s="467">
        <f t="shared" si="166"/>
        <v>33000</v>
      </c>
      <c r="R134" s="467">
        <f t="shared" si="167"/>
        <v>75000</v>
      </c>
      <c r="S134" s="467">
        <f t="shared" si="168"/>
        <v>95000</v>
      </c>
      <c r="T134" s="467">
        <f t="shared" si="169"/>
        <v>336000</v>
      </c>
      <c r="U134" s="467">
        <f t="shared" si="170"/>
        <v>370356.337344</v>
      </c>
      <c r="V134" s="467">
        <f t="shared" si="171"/>
        <v>930356.337344</v>
      </c>
      <c r="W134" s="474">
        <v>12</v>
      </c>
      <c r="X134" s="467">
        <f t="shared" si="172"/>
        <v>77529.6947786667</v>
      </c>
      <c r="Y134" s="470"/>
      <c r="Z134" s="467">
        <f t="shared" si="173"/>
        <v>77529.6947786667</v>
      </c>
      <c r="AA134" s="479">
        <v>46081.2025986667</v>
      </c>
      <c r="AB134" s="479">
        <f t="shared" si="17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229</v>
      </c>
      <c r="C135" s="467">
        <v>450086.5</v>
      </c>
      <c r="D135" s="466">
        <v>12</v>
      </c>
      <c r="E135" s="467">
        <f t="shared" si="159"/>
        <v>5401038</v>
      </c>
      <c r="F135" s="467">
        <f>576.62125*12</f>
        <v>6919.455</v>
      </c>
      <c r="G135" s="468">
        <v>374483.04</v>
      </c>
      <c r="H135" s="470"/>
      <c r="I135" s="467">
        <f t="shared" si="160"/>
        <v>5019635.505</v>
      </c>
      <c r="J135" s="467">
        <v>200000</v>
      </c>
      <c r="K135" s="467">
        <v>0.2</v>
      </c>
      <c r="L135" s="467">
        <f t="shared" si="161"/>
        <v>1003927.101</v>
      </c>
      <c r="M135" s="467">
        <f t="shared" si="162"/>
        <v>1203927.101</v>
      </c>
      <c r="N135" s="467">
        <f t="shared" si="163"/>
        <v>1585329.596</v>
      </c>
      <c r="O135" s="467">
        <f t="shared" si="164"/>
        <v>3815708.404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147770.01696</v>
      </c>
      <c r="V135" s="467">
        <f t="shared" si="171"/>
        <v>707770.01696</v>
      </c>
      <c r="W135" s="474">
        <v>12</v>
      </c>
      <c r="X135" s="467">
        <f t="shared" si="172"/>
        <v>58980.8347466667</v>
      </c>
      <c r="Y135" s="470"/>
      <c r="Z135" s="467">
        <f t="shared" si="173"/>
        <v>58980.8347466667</v>
      </c>
      <c r="AA135" s="479">
        <v>35221.9540866667</v>
      </c>
      <c r="AB135" s="479">
        <f t="shared" si="17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313</v>
      </c>
      <c r="C136" s="467">
        <v>450086.5</v>
      </c>
      <c r="D136" s="466">
        <v>12</v>
      </c>
      <c r="E136" s="467">
        <f t="shared" si="159"/>
        <v>5401038</v>
      </c>
      <c r="F136" s="467"/>
      <c r="G136" s="468">
        <v>374483.04</v>
      </c>
      <c r="H136" s="470"/>
      <c r="I136" s="467">
        <f t="shared" si="160"/>
        <v>5026554.96</v>
      </c>
      <c r="J136" s="467">
        <v>200000</v>
      </c>
      <c r="K136" s="467">
        <v>0.2</v>
      </c>
      <c r="L136" s="467">
        <f t="shared" si="161"/>
        <v>1005310.992</v>
      </c>
      <c r="M136" s="467">
        <f t="shared" si="162"/>
        <v>1205310.992</v>
      </c>
      <c r="N136" s="467">
        <f t="shared" si="163"/>
        <v>1579794.032</v>
      </c>
      <c r="O136" s="467">
        <f t="shared" si="164"/>
        <v>3821243.968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149098.55232</v>
      </c>
      <c r="V136" s="467">
        <f t="shared" si="171"/>
        <v>709098.55232</v>
      </c>
      <c r="W136" s="474">
        <v>12</v>
      </c>
      <c r="X136" s="467">
        <f t="shared" si="172"/>
        <v>59091.5460266667</v>
      </c>
      <c r="Y136" s="470"/>
      <c r="Z136" s="467">
        <f t="shared" si="173"/>
        <v>59091.5460266667</v>
      </c>
      <c r="AA136" s="479">
        <v>35318.8264566667</v>
      </c>
      <c r="AB136" s="479">
        <f t="shared" si="17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314</v>
      </c>
      <c r="C137" s="467">
        <v>510248.916666667</v>
      </c>
      <c r="D137" s="466">
        <v>12</v>
      </c>
      <c r="E137" s="467">
        <f t="shared" si="159"/>
        <v>6122987</v>
      </c>
      <c r="F137" s="467"/>
      <c r="G137" s="468">
        <v>374483.04</v>
      </c>
      <c r="H137" s="470"/>
      <c r="I137" s="467">
        <f t="shared" si="160"/>
        <v>5748503.96</v>
      </c>
      <c r="J137" s="467">
        <v>200000</v>
      </c>
      <c r="K137" s="467">
        <v>0.2</v>
      </c>
      <c r="L137" s="467">
        <f t="shared" si="161"/>
        <v>1149700.792</v>
      </c>
      <c r="M137" s="467">
        <f t="shared" si="162"/>
        <v>1349700.792</v>
      </c>
      <c r="N137" s="467">
        <f t="shared" si="163"/>
        <v>1724183.832</v>
      </c>
      <c r="O137" s="467">
        <f t="shared" si="164"/>
        <v>4398803.168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287712.760320001</v>
      </c>
      <c r="V137" s="467">
        <f t="shared" si="171"/>
        <v>847712.760320001</v>
      </c>
      <c r="W137" s="474">
        <v>12</v>
      </c>
      <c r="X137" s="467">
        <f t="shared" si="172"/>
        <v>70642.7300266667</v>
      </c>
      <c r="Y137" s="470"/>
      <c r="Z137" s="467">
        <f t="shared" si="173"/>
        <v>70642.7300266667</v>
      </c>
      <c r="AA137" s="479">
        <v>35318.8264566667</v>
      </c>
      <c r="AB137" s="479">
        <f t="shared" si="174"/>
        <v>35323.90357</v>
      </c>
      <c r="AC137" s="479"/>
      <c r="AD137" s="479"/>
      <c r="AE137" s="479"/>
    </row>
    <row r="138" ht="18" spans="1:31">
      <c r="A138" s="464">
        <v>121</v>
      </c>
      <c r="B138" s="11" t="s">
        <v>316</v>
      </c>
      <c r="C138" s="467">
        <v>437895.166666667</v>
      </c>
      <c r="D138" s="466">
        <v>12</v>
      </c>
      <c r="E138" s="467">
        <f t="shared" si="159"/>
        <v>5254742</v>
      </c>
      <c r="F138" s="467"/>
      <c r="G138" s="468">
        <v>362779.36</v>
      </c>
      <c r="H138" s="470"/>
      <c r="I138" s="467">
        <f t="shared" si="160"/>
        <v>4891962.64</v>
      </c>
      <c r="J138" s="467">
        <v>200000</v>
      </c>
      <c r="K138" s="467">
        <v>0.2</v>
      </c>
      <c r="L138" s="467">
        <f t="shared" si="161"/>
        <v>978392.528000001</v>
      </c>
      <c r="M138" s="467">
        <f t="shared" si="162"/>
        <v>1178392.528</v>
      </c>
      <c r="N138" s="467">
        <f t="shared" si="163"/>
        <v>1541171.888</v>
      </c>
      <c r="O138" s="467">
        <f t="shared" si="164"/>
        <v>3713570.112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123256.826880001</v>
      </c>
      <c r="V138" s="467">
        <f t="shared" si="171"/>
        <v>683256.826880001</v>
      </c>
      <c r="W138" s="474">
        <v>12</v>
      </c>
      <c r="X138" s="467">
        <f t="shared" si="172"/>
        <v>56938.0689066667</v>
      </c>
      <c r="Y138" s="470"/>
      <c r="Z138" s="467">
        <f t="shared" si="173"/>
        <v>56938.0689066667</v>
      </c>
      <c r="AA138" s="479">
        <v>34968.8824146667</v>
      </c>
      <c r="AB138" s="479">
        <f t="shared" si="17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318</v>
      </c>
      <c r="C139" s="467">
        <v>425703.833333333</v>
      </c>
      <c r="D139" s="466">
        <v>12</v>
      </c>
      <c r="E139" s="467">
        <f t="shared" si="159"/>
        <v>5108446</v>
      </c>
      <c r="F139" s="467">
        <f>538.022*12</f>
        <v>6456.264</v>
      </c>
      <c r="G139" s="468">
        <v>351075.68</v>
      </c>
      <c r="H139" s="470"/>
      <c r="I139" s="467">
        <f t="shared" si="160"/>
        <v>4750914.056</v>
      </c>
      <c r="J139" s="467">
        <v>200000</v>
      </c>
      <c r="K139" s="467">
        <v>0.2</v>
      </c>
      <c r="L139" s="467">
        <f t="shared" si="161"/>
        <v>950182.811199999</v>
      </c>
      <c r="M139" s="467">
        <f t="shared" si="162"/>
        <v>1150182.8112</v>
      </c>
      <c r="N139" s="467">
        <f t="shared" si="163"/>
        <v>1507714.7552</v>
      </c>
      <c r="O139" s="467">
        <f t="shared" si="164"/>
        <v>3600731.2448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96175.4987519992</v>
      </c>
      <c r="V139" s="467">
        <f t="shared" si="171"/>
        <v>656175.498751999</v>
      </c>
      <c r="W139" s="474">
        <v>12</v>
      </c>
      <c r="X139" s="467">
        <f t="shared" si="172"/>
        <v>54681.2915626666</v>
      </c>
      <c r="Y139" s="470"/>
      <c r="Z139" s="467">
        <f t="shared" si="173"/>
        <v>54681.2915626666</v>
      </c>
      <c r="AA139" s="479">
        <v>32848.5634026667</v>
      </c>
      <c r="AB139" s="479">
        <f t="shared" si="17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61</v>
      </c>
      <c r="C140" s="616">
        <v>591753.166666667</v>
      </c>
      <c r="D140" s="466">
        <v>12</v>
      </c>
      <c r="E140" s="467">
        <f t="shared" si="159"/>
        <v>7101038</v>
      </c>
      <c r="F140" s="467">
        <f>576.62125*12</f>
        <v>6919.455</v>
      </c>
      <c r="G140" s="468">
        <v>374483.04</v>
      </c>
      <c r="H140" s="470"/>
      <c r="I140" s="467">
        <f t="shared" si="160"/>
        <v>6719635.505</v>
      </c>
      <c r="J140" s="467">
        <v>200000</v>
      </c>
      <c r="K140" s="467">
        <v>0.2</v>
      </c>
      <c r="L140" s="467">
        <f t="shared" si="161"/>
        <v>1343927.101</v>
      </c>
      <c r="M140" s="467">
        <f t="shared" si="162"/>
        <v>1543927.101</v>
      </c>
      <c r="N140" s="467">
        <f t="shared" si="163"/>
        <v>1925329.596</v>
      </c>
      <c r="O140" s="467">
        <f t="shared" si="164"/>
        <v>5175708.404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474170.016960001</v>
      </c>
      <c r="V140" s="467">
        <f t="shared" si="171"/>
        <v>1034170.01696</v>
      </c>
      <c r="W140" s="474">
        <v>12</v>
      </c>
      <c r="X140" s="467">
        <f t="shared" si="172"/>
        <v>86180.8347466667</v>
      </c>
      <c r="Y140" s="470"/>
      <c r="Z140" s="467">
        <f t="shared" si="173"/>
        <v>86180.8347466667</v>
      </c>
      <c r="AA140" s="479">
        <v>35221.9540866667</v>
      </c>
      <c r="AB140" s="479">
        <f t="shared" si="174"/>
        <v>50958.88066</v>
      </c>
      <c r="AC140" s="479"/>
      <c r="AD140" s="479"/>
      <c r="AE140" s="479"/>
    </row>
    <row r="141" ht="18" spans="1:31">
      <c r="A141" s="464">
        <v>124</v>
      </c>
      <c r="B141" s="18" t="s">
        <v>320</v>
      </c>
      <c r="C141" s="467">
        <v>413512.5</v>
      </c>
      <c r="D141" s="466">
        <v>12</v>
      </c>
      <c r="E141" s="467">
        <f t="shared" si="159"/>
        <v>4962150</v>
      </c>
      <c r="F141" s="467">
        <v>0</v>
      </c>
      <c r="G141" s="468">
        <v>339372</v>
      </c>
      <c r="H141" s="470"/>
      <c r="I141" s="467">
        <f t="shared" si="160"/>
        <v>4622778</v>
      </c>
      <c r="J141" s="467">
        <v>200000</v>
      </c>
      <c r="K141" s="467">
        <v>0.2</v>
      </c>
      <c r="L141" s="467">
        <f t="shared" si="161"/>
        <v>924555.6</v>
      </c>
      <c r="M141" s="467">
        <f t="shared" si="162"/>
        <v>1124555.6</v>
      </c>
      <c r="N141" s="467">
        <f t="shared" si="163"/>
        <v>1463927.6</v>
      </c>
      <c r="O141" s="467">
        <f t="shared" si="164"/>
        <v>3498222.4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71573.376</v>
      </c>
      <c r="V141" s="467">
        <f t="shared" si="171"/>
        <v>631573.376</v>
      </c>
      <c r="W141" s="474">
        <v>12</v>
      </c>
      <c r="X141" s="467">
        <f t="shared" si="172"/>
        <v>52631.1146666667</v>
      </c>
      <c r="Y141" s="470"/>
      <c r="Z141" s="467">
        <f t="shared" si="173"/>
        <v>52631.1146666667</v>
      </c>
      <c r="AA141" s="479">
        <v>31749.1752666667</v>
      </c>
      <c r="AB141" s="479">
        <f t="shared" si="174"/>
        <v>20881.9394</v>
      </c>
      <c r="AC141" s="479"/>
      <c r="AD141" s="479"/>
      <c r="AE141" s="479"/>
    </row>
    <row r="142" ht="18" spans="1:31">
      <c r="A142" s="464">
        <v>125</v>
      </c>
      <c r="B142" s="11" t="s">
        <v>322</v>
      </c>
      <c r="C142" s="467">
        <v>368901.5</v>
      </c>
      <c r="D142" s="466">
        <v>12</v>
      </c>
      <c r="E142" s="467">
        <f t="shared" si="159"/>
        <v>4426818</v>
      </c>
      <c r="F142" s="467"/>
      <c r="G142" s="468">
        <v>296545.44</v>
      </c>
      <c r="H142" s="470"/>
      <c r="I142" s="467">
        <f t="shared" si="160"/>
        <v>4130272.56</v>
      </c>
      <c r="J142" s="467">
        <v>200000</v>
      </c>
      <c r="K142" s="467">
        <v>0.2</v>
      </c>
      <c r="L142" s="467">
        <f t="shared" si="161"/>
        <v>826054.512</v>
      </c>
      <c r="M142" s="467">
        <f t="shared" si="162"/>
        <v>1026054.512</v>
      </c>
      <c r="N142" s="467">
        <f t="shared" si="163"/>
        <v>1322599.952</v>
      </c>
      <c r="O142" s="467">
        <f t="shared" si="164"/>
        <v>3104218.048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315885.79008</v>
      </c>
      <c r="U142" s="467"/>
      <c r="V142" s="467">
        <f t="shared" si="171"/>
        <v>539885.79008</v>
      </c>
      <c r="W142" s="474">
        <v>12</v>
      </c>
      <c r="X142" s="467">
        <f t="shared" si="172"/>
        <v>44990.4825066667</v>
      </c>
      <c r="Y142" s="470"/>
      <c r="Z142" s="467">
        <f t="shared" si="173"/>
        <v>44990.4825066667</v>
      </c>
      <c r="AA142" s="479">
        <v>27105.9865626667</v>
      </c>
      <c r="AB142" s="479">
        <f t="shared" si="17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323</v>
      </c>
      <c r="C143" s="467">
        <v>376837.416666667</v>
      </c>
      <c r="D143" s="466">
        <v>12</v>
      </c>
      <c r="E143" s="467">
        <f t="shared" si="159"/>
        <v>4522049</v>
      </c>
      <c r="F143" s="467">
        <f>469.4825*12</f>
        <v>5633.79</v>
      </c>
      <c r="G143" s="468">
        <v>304163.92</v>
      </c>
      <c r="H143" s="470"/>
      <c r="I143" s="467">
        <f t="shared" si="160"/>
        <v>4212251.29</v>
      </c>
      <c r="J143" s="467">
        <v>200000</v>
      </c>
      <c r="K143" s="467">
        <v>0.2</v>
      </c>
      <c r="L143" s="467">
        <f t="shared" si="161"/>
        <v>842450.258000001</v>
      </c>
      <c r="M143" s="467">
        <f t="shared" si="162"/>
        <v>1042450.258</v>
      </c>
      <c r="N143" s="467">
        <f t="shared" si="163"/>
        <v>1352247.968</v>
      </c>
      <c r="O143" s="467">
        <f t="shared" si="164"/>
        <v>3169801.032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329658.216720001</v>
      </c>
      <c r="U143" s="467"/>
      <c r="V143" s="467">
        <f t="shared" si="171"/>
        <v>553658.216720001</v>
      </c>
      <c r="W143" s="474">
        <v>12</v>
      </c>
      <c r="X143" s="467">
        <f t="shared" si="172"/>
        <v>46138.1847266667</v>
      </c>
      <c r="Y143" s="470"/>
      <c r="Z143" s="467">
        <f t="shared" si="173"/>
        <v>46138.1847266667</v>
      </c>
      <c r="AA143" s="479">
        <v>27794.2066266667</v>
      </c>
      <c r="AB143" s="479">
        <f t="shared" si="174"/>
        <v>18343.9781</v>
      </c>
      <c r="AC143" s="479"/>
      <c r="AD143" s="479"/>
      <c r="AE143" s="479"/>
    </row>
    <row r="144" ht="18" spans="1:31">
      <c r="A144" s="464">
        <v>127</v>
      </c>
      <c r="B144" s="11" t="s">
        <v>325</v>
      </c>
      <c r="C144" s="467">
        <v>376837.416666667</v>
      </c>
      <c r="D144" s="466">
        <v>12</v>
      </c>
      <c r="E144" s="467">
        <f t="shared" si="159"/>
        <v>4522049</v>
      </c>
      <c r="F144" s="467"/>
      <c r="G144" s="468">
        <v>304163.92</v>
      </c>
      <c r="H144" s="470"/>
      <c r="I144" s="467">
        <f t="shared" si="160"/>
        <v>4217885.08</v>
      </c>
      <c r="J144" s="467">
        <v>200000</v>
      </c>
      <c r="K144" s="467">
        <v>0.2</v>
      </c>
      <c r="L144" s="467">
        <f t="shared" si="161"/>
        <v>843577.016000001</v>
      </c>
      <c r="M144" s="467">
        <f t="shared" si="162"/>
        <v>1043577.016</v>
      </c>
      <c r="N144" s="467">
        <f t="shared" si="163"/>
        <v>1347740.936</v>
      </c>
      <c r="O144" s="467">
        <f t="shared" si="164"/>
        <v>3174308.064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330604.693440001</v>
      </c>
      <c r="U144" s="467"/>
      <c r="V144" s="467">
        <f t="shared" si="171"/>
        <v>554604.693440001</v>
      </c>
      <c r="W144" s="474">
        <v>12</v>
      </c>
      <c r="X144" s="467">
        <f t="shared" si="172"/>
        <v>46217.0577866667</v>
      </c>
      <c r="Y144" s="470"/>
      <c r="Z144" s="467">
        <f t="shared" si="173"/>
        <v>46217.0577866667</v>
      </c>
      <c r="AA144" s="479">
        <v>27873.0796866667</v>
      </c>
      <c r="AB144" s="479">
        <f t="shared" si="174"/>
        <v>18343.9781</v>
      </c>
      <c r="AC144" s="479"/>
      <c r="AD144" s="479"/>
      <c r="AE144" s="479"/>
    </row>
    <row r="145" ht="18" spans="1:31">
      <c r="A145" s="464">
        <v>128</v>
      </c>
      <c r="B145" s="11" t="s">
        <v>326</v>
      </c>
      <c r="C145" s="467">
        <v>360965.583333333</v>
      </c>
      <c r="D145" s="466">
        <v>12</v>
      </c>
      <c r="E145" s="467">
        <f t="shared" si="159"/>
        <v>4331587</v>
      </c>
      <c r="F145" s="467"/>
      <c r="G145" s="468">
        <v>288926.96</v>
      </c>
      <c r="H145" s="470"/>
      <c r="I145" s="467">
        <f t="shared" si="160"/>
        <v>4042660.04</v>
      </c>
      <c r="J145" s="467">
        <v>200000</v>
      </c>
      <c r="K145" s="467">
        <v>0.2</v>
      </c>
      <c r="L145" s="467">
        <f t="shared" si="161"/>
        <v>808532.007999999</v>
      </c>
      <c r="M145" s="467">
        <f t="shared" si="162"/>
        <v>1008532.008</v>
      </c>
      <c r="N145" s="467">
        <f t="shared" si="163"/>
        <v>1297458.968</v>
      </c>
      <c r="O145" s="467">
        <f t="shared" si="164"/>
        <v>3034128.032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301166.886719999</v>
      </c>
      <c r="U145" s="467"/>
      <c r="V145" s="467">
        <f t="shared" si="171"/>
        <v>525166.886719999</v>
      </c>
      <c r="W145" s="474">
        <v>12</v>
      </c>
      <c r="X145" s="467">
        <f t="shared" si="172"/>
        <v>43763.9072266666</v>
      </c>
      <c r="Y145" s="470"/>
      <c r="Z145" s="467">
        <f t="shared" si="173"/>
        <v>43763.9072266666</v>
      </c>
      <c r="AA145" s="479">
        <v>27105.9865626667</v>
      </c>
      <c r="AB145" s="479">
        <f t="shared" si="17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328</v>
      </c>
      <c r="C146" s="467">
        <v>323165.333333333</v>
      </c>
      <c r="D146" s="466">
        <v>12</v>
      </c>
      <c r="E146" s="467">
        <f t="shared" si="159"/>
        <v>3877984</v>
      </c>
      <c r="F146" s="467"/>
      <c r="G146" s="468">
        <v>252638.72</v>
      </c>
      <c r="H146" s="470"/>
      <c r="I146" s="467">
        <f t="shared" si="160"/>
        <v>3625345.28</v>
      </c>
      <c r="J146" s="467">
        <v>200000</v>
      </c>
      <c r="K146" s="467">
        <v>0.2</v>
      </c>
      <c r="L146" s="467">
        <f t="shared" si="161"/>
        <v>725069.055999999</v>
      </c>
      <c r="M146" s="467">
        <f t="shared" si="162"/>
        <v>925069.055999999</v>
      </c>
      <c r="N146" s="467">
        <f t="shared" si="163"/>
        <v>1177707.776</v>
      </c>
      <c r="O146" s="467">
        <f t="shared" si="164"/>
        <v>2700276.224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231058.007039999</v>
      </c>
      <c r="U146" s="467"/>
      <c r="V146" s="467">
        <f t="shared" si="171"/>
        <v>455058.007039999</v>
      </c>
      <c r="W146" s="474">
        <v>12</v>
      </c>
      <c r="X146" s="467">
        <f t="shared" si="172"/>
        <v>37921.5005866666</v>
      </c>
      <c r="Y146" s="470"/>
      <c r="Z146" s="467">
        <f t="shared" si="173"/>
        <v>37921.5005866666</v>
      </c>
      <c r="AA146" s="479">
        <v>22338.4826046667</v>
      </c>
      <c r="AB146" s="479">
        <f t="shared" si="17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330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332</v>
      </c>
      <c r="C148" s="467">
        <v>330481.666666667</v>
      </c>
      <c r="D148" s="466">
        <v>12</v>
      </c>
      <c r="E148" s="467">
        <f t="shared" si="159"/>
        <v>3965780</v>
      </c>
      <c r="F148" s="467"/>
      <c r="G148" s="468">
        <v>259662.4</v>
      </c>
      <c r="H148" s="470"/>
      <c r="I148" s="467">
        <f t="shared" si="160"/>
        <v>3706117.6</v>
      </c>
      <c r="J148" s="467">
        <v>200000</v>
      </c>
      <c r="K148" s="467">
        <v>0.2</v>
      </c>
      <c r="L148" s="467">
        <f t="shared" si="161"/>
        <v>741223.520000001</v>
      </c>
      <c r="M148" s="467">
        <f t="shared" si="162"/>
        <v>941223.520000001</v>
      </c>
      <c r="N148" s="467">
        <f t="shared" si="163"/>
        <v>1200885.92</v>
      </c>
      <c r="O148" s="467">
        <f t="shared" si="164"/>
        <v>2764894.08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244627.756800001</v>
      </c>
      <c r="U148" s="467"/>
      <c r="V148" s="467">
        <f t="shared" si="171"/>
        <v>468627.756800001</v>
      </c>
      <c r="W148" s="474">
        <v>12</v>
      </c>
      <c r="X148" s="467">
        <f t="shared" si="172"/>
        <v>39052.3130666667</v>
      </c>
      <c r="Y148" s="470"/>
      <c r="Z148" s="467">
        <f t="shared" si="173"/>
        <v>39052.3130666667</v>
      </c>
      <c r="AA148" s="479">
        <v>23036.0123466667</v>
      </c>
      <c r="AB148" s="479">
        <f t="shared" si="17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334</v>
      </c>
      <c r="C149" s="467">
        <v>368901.5</v>
      </c>
      <c r="D149" s="466">
        <v>12</v>
      </c>
      <c r="E149" s="467">
        <f t="shared" si="159"/>
        <v>4426818</v>
      </c>
      <c r="F149" s="467">
        <f>457.041*12</f>
        <v>5484.492</v>
      </c>
      <c r="G149" s="468">
        <v>296545.44</v>
      </c>
      <c r="H149" s="470"/>
      <c r="I149" s="467">
        <f t="shared" si="160"/>
        <v>4124788.068</v>
      </c>
      <c r="J149" s="467">
        <v>200000</v>
      </c>
      <c r="K149" s="467">
        <v>0.2</v>
      </c>
      <c r="L149" s="467">
        <f t="shared" si="161"/>
        <v>824957.6136</v>
      </c>
      <c r="M149" s="467">
        <f t="shared" si="162"/>
        <v>1024957.6136</v>
      </c>
      <c r="N149" s="467">
        <f t="shared" si="163"/>
        <v>1326987.5456</v>
      </c>
      <c r="O149" s="467">
        <f t="shared" si="164"/>
        <v>3099830.4544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314964.395424</v>
      </c>
      <c r="U149" s="467"/>
      <c r="V149" s="467">
        <f t="shared" si="171"/>
        <v>538964.395424</v>
      </c>
      <c r="W149" s="474">
        <v>12</v>
      </c>
      <c r="X149" s="467">
        <f t="shared" si="172"/>
        <v>44913.6996186667</v>
      </c>
      <c r="Y149" s="470"/>
      <c r="Z149" s="467">
        <f t="shared" si="173"/>
        <v>44913.6996186667</v>
      </c>
      <c r="AA149" s="479">
        <v>27029.2036746667</v>
      </c>
      <c r="AB149" s="479">
        <f t="shared" si="17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335</v>
      </c>
      <c r="C150" s="467">
        <v>330481.666666667</v>
      </c>
      <c r="D150" s="466">
        <v>12</v>
      </c>
      <c r="E150" s="467">
        <f t="shared" si="159"/>
        <v>3965780</v>
      </c>
      <c r="F150" s="467"/>
      <c r="G150" s="468">
        <v>259662.4</v>
      </c>
      <c r="H150" s="470"/>
      <c r="I150" s="467">
        <f t="shared" si="160"/>
        <v>3706117.6</v>
      </c>
      <c r="J150" s="467">
        <v>200000</v>
      </c>
      <c r="K150" s="467">
        <v>0.2</v>
      </c>
      <c r="L150" s="467">
        <f t="shared" si="161"/>
        <v>741223.520000001</v>
      </c>
      <c r="M150" s="467">
        <f t="shared" si="162"/>
        <v>941223.520000001</v>
      </c>
      <c r="N150" s="467">
        <f t="shared" si="163"/>
        <v>1200885.92</v>
      </c>
      <c r="O150" s="467">
        <f t="shared" si="164"/>
        <v>2764894.08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244627.756800001</v>
      </c>
      <c r="U150" s="467"/>
      <c r="V150" s="467">
        <f t="shared" si="171"/>
        <v>468627.756800001</v>
      </c>
      <c r="W150" s="474">
        <v>12</v>
      </c>
      <c r="X150" s="467">
        <f t="shared" si="172"/>
        <v>39052.3130666667</v>
      </c>
      <c r="Y150" s="470"/>
      <c r="Z150" s="467">
        <f t="shared" si="173"/>
        <v>39052.3130666667</v>
      </c>
      <c r="AA150" s="479">
        <v>22338.4826046667</v>
      </c>
      <c r="AB150" s="479">
        <f t="shared" si="17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337</v>
      </c>
      <c r="C151" s="467">
        <v>315849</v>
      </c>
      <c r="D151" s="466">
        <v>12</v>
      </c>
      <c r="E151" s="467">
        <f t="shared" si="159"/>
        <v>3790188</v>
      </c>
      <c r="F151" s="467"/>
      <c r="G151" s="468">
        <v>245615.04</v>
      </c>
      <c r="H151" s="470"/>
      <c r="I151" s="467">
        <f t="shared" si="160"/>
        <v>3544572.96</v>
      </c>
      <c r="J151" s="467">
        <v>200000</v>
      </c>
      <c r="K151" s="467">
        <v>0.2</v>
      </c>
      <c r="L151" s="467">
        <f t="shared" si="161"/>
        <v>708914.592</v>
      </c>
      <c r="M151" s="467">
        <f t="shared" si="162"/>
        <v>908914.592</v>
      </c>
      <c r="N151" s="467">
        <f t="shared" si="163"/>
        <v>1154529.632</v>
      </c>
      <c r="O151" s="467">
        <f t="shared" si="164"/>
        <v>2635658.368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217488.25728</v>
      </c>
      <c r="U151" s="467"/>
      <c r="V151" s="467">
        <f t="shared" si="171"/>
        <v>441488.25728</v>
      </c>
      <c r="W151" s="474">
        <v>12</v>
      </c>
      <c r="X151" s="467">
        <f t="shared" si="172"/>
        <v>36790.6881066667</v>
      </c>
      <c r="Y151" s="470"/>
      <c r="Z151" s="467">
        <f t="shared" si="173"/>
        <v>36790.6881066667</v>
      </c>
      <c r="AA151" s="479">
        <v>21640.9528626667</v>
      </c>
      <c r="AB151" s="479">
        <f t="shared" si="17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345</v>
      </c>
      <c r="C152" s="467">
        <v>274459.75</v>
      </c>
      <c r="D152" s="466">
        <v>12</v>
      </c>
      <c r="E152" s="467">
        <f t="shared" si="159"/>
        <v>3293517</v>
      </c>
      <c r="F152" s="467">
        <v>0</v>
      </c>
      <c r="G152" s="468">
        <v>215481.36</v>
      </c>
      <c r="H152" s="470"/>
      <c r="I152" s="467">
        <f t="shared" si="160"/>
        <v>3078035.64</v>
      </c>
      <c r="J152" s="467">
        <v>200000</v>
      </c>
      <c r="K152" s="467">
        <v>0.2</v>
      </c>
      <c r="L152" s="467">
        <f t="shared" si="161"/>
        <v>615607.128</v>
      </c>
      <c r="M152" s="467">
        <f t="shared" si="162"/>
        <v>815607.128</v>
      </c>
      <c r="N152" s="467">
        <f t="shared" si="163"/>
        <v>1031088.488</v>
      </c>
      <c r="O152" s="467">
        <f t="shared" si="164"/>
        <v>2262428.512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139109.98752</v>
      </c>
      <c r="U152" s="467"/>
      <c r="V152" s="467">
        <f t="shared" si="171"/>
        <v>363109.98752</v>
      </c>
      <c r="W152" s="474">
        <v>12</v>
      </c>
      <c r="X152" s="467">
        <f t="shared" si="172"/>
        <v>30259.1656266667</v>
      </c>
      <c r="Y152" s="470"/>
      <c r="Z152" s="467">
        <f t="shared" si="173"/>
        <v>30259.1656266667</v>
      </c>
      <c r="AA152" s="479">
        <v>17042.7138666667</v>
      </c>
      <c r="AB152" s="479">
        <f t="shared" si="17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347</v>
      </c>
      <c r="C153" s="467">
        <v>274459.75</v>
      </c>
      <c r="D153" s="466">
        <v>12</v>
      </c>
      <c r="E153" s="467">
        <f t="shared" si="159"/>
        <v>3293517</v>
      </c>
      <c r="F153" s="467">
        <v>0</v>
      </c>
      <c r="G153" s="468">
        <v>215481.36</v>
      </c>
      <c r="H153" s="470"/>
      <c r="I153" s="467">
        <f t="shared" si="160"/>
        <v>3078035.64</v>
      </c>
      <c r="J153" s="467">
        <v>200000</v>
      </c>
      <c r="K153" s="467">
        <v>0.2</v>
      </c>
      <c r="L153" s="467">
        <f t="shared" si="161"/>
        <v>615607.128</v>
      </c>
      <c r="M153" s="467">
        <f t="shared" si="162"/>
        <v>815607.128</v>
      </c>
      <c r="N153" s="467">
        <f t="shared" si="163"/>
        <v>1031088.488</v>
      </c>
      <c r="O153" s="467">
        <f t="shared" si="164"/>
        <v>2262428.512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139109.98752</v>
      </c>
      <c r="U153" s="467"/>
      <c r="V153" s="467">
        <f t="shared" si="171"/>
        <v>363109.98752</v>
      </c>
      <c r="W153" s="474">
        <v>12</v>
      </c>
      <c r="X153" s="467">
        <f t="shared" si="172"/>
        <v>30259.1656266667</v>
      </c>
      <c r="Y153" s="470"/>
      <c r="Z153" s="467">
        <f t="shared" si="173"/>
        <v>30259.1656266667</v>
      </c>
      <c r="AA153" s="479">
        <v>17042.7138666667</v>
      </c>
      <c r="AB153" s="479">
        <f t="shared" si="17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349</v>
      </c>
      <c r="C154" s="467">
        <v>274459.75</v>
      </c>
      <c r="D154" s="466">
        <v>12</v>
      </c>
      <c r="E154" s="467">
        <f t="shared" si="159"/>
        <v>3293517</v>
      </c>
      <c r="F154" s="467">
        <v>0</v>
      </c>
      <c r="G154" s="468">
        <v>215481.36</v>
      </c>
      <c r="H154" s="470"/>
      <c r="I154" s="467">
        <f t="shared" si="160"/>
        <v>3078035.64</v>
      </c>
      <c r="J154" s="467">
        <v>200000</v>
      </c>
      <c r="K154" s="467">
        <v>0.2</v>
      </c>
      <c r="L154" s="467">
        <f t="shared" si="161"/>
        <v>615607.128</v>
      </c>
      <c r="M154" s="467">
        <f t="shared" si="162"/>
        <v>815607.128</v>
      </c>
      <c r="N154" s="467">
        <f t="shared" si="163"/>
        <v>1031088.488</v>
      </c>
      <c r="O154" s="467">
        <f t="shared" si="164"/>
        <v>2262428.512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139109.98752</v>
      </c>
      <c r="U154" s="467"/>
      <c r="V154" s="467">
        <f t="shared" si="171"/>
        <v>363109.98752</v>
      </c>
      <c r="W154" s="474">
        <v>12</v>
      </c>
      <c r="X154" s="467">
        <f t="shared" si="172"/>
        <v>30259.1656266667</v>
      </c>
      <c r="Y154" s="470"/>
      <c r="Z154" s="467">
        <f t="shared" si="173"/>
        <v>30259.1656266667</v>
      </c>
      <c r="AA154" s="479">
        <v>17042.7138666667</v>
      </c>
      <c r="AB154" s="479">
        <f t="shared" si="17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351</v>
      </c>
      <c r="C155" s="467">
        <v>280631.916666667</v>
      </c>
      <c r="D155" s="466">
        <v>12</v>
      </c>
      <c r="E155" s="467">
        <f t="shared" si="159"/>
        <v>3367583</v>
      </c>
      <c r="F155" s="467">
        <v>0</v>
      </c>
      <c r="G155" s="468">
        <v>221406.64</v>
      </c>
      <c r="H155" s="470"/>
      <c r="I155" s="467">
        <f t="shared" si="160"/>
        <v>3146176.36</v>
      </c>
      <c r="J155" s="467">
        <v>200000</v>
      </c>
      <c r="K155" s="467">
        <v>0.2</v>
      </c>
      <c r="L155" s="467">
        <f t="shared" si="161"/>
        <v>629235.272000001</v>
      </c>
      <c r="M155" s="467">
        <f t="shared" si="162"/>
        <v>829235.272000001</v>
      </c>
      <c r="N155" s="467">
        <f t="shared" si="163"/>
        <v>1050641.912</v>
      </c>
      <c r="O155" s="467">
        <f t="shared" si="164"/>
        <v>2316941.088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150557.628480001</v>
      </c>
      <c r="U155" s="467"/>
      <c r="V155" s="467">
        <f t="shared" si="171"/>
        <v>374557.628480001</v>
      </c>
      <c r="W155" s="474">
        <v>12</v>
      </c>
      <c r="X155" s="467">
        <f t="shared" si="172"/>
        <v>31213.1357066667</v>
      </c>
      <c r="Y155" s="470"/>
      <c r="Z155" s="467">
        <f t="shared" si="173"/>
        <v>31213.1357066667</v>
      </c>
      <c r="AA155" s="479">
        <v>17572.8850026667</v>
      </c>
      <c r="AB155" s="479">
        <f t="shared" si="17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352</v>
      </c>
      <c r="C156" s="467">
        <v>274459.75</v>
      </c>
      <c r="D156" s="466">
        <v>12</v>
      </c>
      <c r="E156" s="467">
        <f t="shared" si="159"/>
        <v>3293517</v>
      </c>
      <c r="F156" s="467">
        <v>0</v>
      </c>
      <c r="G156" s="468">
        <v>215481.36</v>
      </c>
      <c r="H156" s="470"/>
      <c r="I156" s="467">
        <f t="shared" si="160"/>
        <v>3078035.64</v>
      </c>
      <c r="J156" s="467">
        <v>200000</v>
      </c>
      <c r="K156" s="467">
        <v>0.2</v>
      </c>
      <c r="L156" s="467">
        <f t="shared" si="161"/>
        <v>615607.128</v>
      </c>
      <c r="M156" s="467">
        <f t="shared" si="162"/>
        <v>815607.128</v>
      </c>
      <c r="N156" s="467">
        <f t="shared" si="163"/>
        <v>1031088.488</v>
      </c>
      <c r="O156" s="467">
        <f t="shared" si="164"/>
        <v>2262428.512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139109.98752</v>
      </c>
      <c r="U156" s="467"/>
      <c r="V156" s="467">
        <f t="shared" si="171"/>
        <v>363109.98752</v>
      </c>
      <c r="W156" s="474">
        <v>12</v>
      </c>
      <c r="X156" s="467">
        <f t="shared" si="172"/>
        <v>30259.1656266667</v>
      </c>
      <c r="Y156" s="470"/>
      <c r="Z156" s="467">
        <f t="shared" si="173"/>
        <v>30259.1656266667</v>
      </c>
      <c r="AA156" s="479">
        <v>17042.7138666667</v>
      </c>
      <c r="AB156" s="479">
        <f t="shared" si="17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361</v>
      </c>
      <c r="C157" s="467">
        <v>202598.166666667</v>
      </c>
      <c r="D157" s="466">
        <v>12</v>
      </c>
      <c r="E157" s="467">
        <f t="shared" si="159"/>
        <v>2431178</v>
      </c>
      <c r="F157" s="467">
        <f>263.19*12</f>
        <v>3158.28</v>
      </c>
      <c r="G157" s="468">
        <v>161854.24</v>
      </c>
      <c r="H157" s="470"/>
      <c r="I157" s="467">
        <f t="shared" si="160"/>
        <v>2266165.48</v>
      </c>
      <c r="J157" s="467">
        <v>200000</v>
      </c>
      <c r="K157" s="467">
        <v>0.2</v>
      </c>
      <c r="L157" s="467">
        <f t="shared" si="161"/>
        <v>453233.096000001</v>
      </c>
      <c r="M157" s="467">
        <f t="shared" si="162"/>
        <v>653233.096000001</v>
      </c>
      <c r="N157" s="467">
        <f t="shared" si="163"/>
        <v>818245.616000001</v>
      </c>
      <c r="O157" s="467">
        <f t="shared" si="164"/>
        <v>1612932.384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2715.8006400007</v>
      </c>
      <c r="U157" s="467"/>
      <c r="V157" s="467">
        <f t="shared" si="171"/>
        <v>226715.800640001</v>
      </c>
      <c r="W157" s="474">
        <v>12</v>
      </c>
      <c r="X157" s="467">
        <f t="shared" si="172"/>
        <v>18892.9833866667</v>
      </c>
      <c r="Y157" s="470"/>
      <c r="Z157" s="467">
        <f t="shared" si="173"/>
        <v>18892.9833866667</v>
      </c>
      <c r="AA157" s="479">
        <v>10739.3048</v>
      </c>
      <c r="AB157" s="479">
        <f t="shared" si="17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364</v>
      </c>
      <c r="C158" s="467">
        <v>205598.166666667</v>
      </c>
      <c r="D158" s="466">
        <v>12</v>
      </c>
      <c r="E158" s="467">
        <f t="shared" si="159"/>
        <v>2467178</v>
      </c>
      <c r="F158" s="467"/>
      <c r="G158" s="468">
        <v>161854.24</v>
      </c>
      <c r="H158" s="470"/>
      <c r="I158" s="467">
        <f t="shared" si="160"/>
        <v>2305323.76</v>
      </c>
      <c r="J158" s="467">
        <v>200000</v>
      </c>
      <c r="K158" s="467">
        <v>0.2</v>
      </c>
      <c r="L158" s="467">
        <f t="shared" si="161"/>
        <v>461064.752000001</v>
      </c>
      <c r="M158" s="467">
        <f t="shared" si="162"/>
        <v>661064.752000001</v>
      </c>
      <c r="N158" s="467">
        <f t="shared" si="163"/>
        <v>822918.992000001</v>
      </c>
      <c r="O158" s="467">
        <f t="shared" si="164"/>
        <v>1644259.008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9294.39168000067</v>
      </c>
      <c r="U158" s="467"/>
      <c r="V158" s="467">
        <f t="shared" si="171"/>
        <v>233294.391680001</v>
      </c>
      <c r="W158" s="474">
        <v>12</v>
      </c>
      <c r="X158" s="467">
        <f t="shared" si="172"/>
        <v>19441.1993066667</v>
      </c>
      <c r="Y158" s="470"/>
      <c r="Z158" s="467">
        <f t="shared" si="173"/>
        <v>19441.1993066667</v>
      </c>
      <c r="AA158" s="479">
        <v>11232.4576266667</v>
      </c>
      <c r="AB158" s="479">
        <f t="shared" si="17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570</v>
      </c>
      <c r="C159" s="467">
        <v>202598.166666667</v>
      </c>
      <c r="D159" s="466">
        <v>12</v>
      </c>
      <c r="E159" s="467">
        <f t="shared" si="159"/>
        <v>2431178</v>
      </c>
      <c r="F159" s="467"/>
      <c r="G159" s="468">
        <v>161854.24</v>
      </c>
      <c r="H159" s="470"/>
      <c r="I159" s="467">
        <f t="shared" si="160"/>
        <v>2269323.76</v>
      </c>
      <c r="J159" s="467">
        <v>200000</v>
      </c>
      <c r="K159" s="467">
        <v>0.2</v>
      </c>
      <c r="L159" s="467">
        <f t="shared" si="161"/>
        <v>453864.752000001</v>
      </c>
      <c r="M159" s="467">
        <f t="shared" si="162"/>
        <v>653864.752000001</v>
      </c>
      <c r="N159" s="467">
        <f t="shared" si="163"/>
        <v>815718.992000001</v>
      </c>
      <c r="O159" s="467">
        <f t="shared" si="164"/>
        <v>1615459.008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3246.39168000067</v>
      </c>
      <c r="U159" s="467"/>
      <c r="V159" s="467">
        <f t="shared" si="171"/>
        <v>227246.391680001</v>
      </c>
      <c r="W159" s="474">
        <v>12</v>
      </c>
      <c r="X159" s="467">
        <f t="shared" si="172"/>
        <v>18937.1993066667</v>
      </c>
      <c r="Y159" s="470"/>
      <c r="Z159" s="467">
        <f t="shared" si="173"/>
        <v>18937.1993066667</v>
      </c>
      <c r="AA159" s="479">
        <v>10776.4576266667</v>
      </c>
      <c r="AB159" s="479">
        <f t="shared" si="17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365</v>
      </c>
      <c r="C160" s="467">
        <v>202598.166666667</v>
      </c>
      <c r="D160" s="466">
        <v>12</v>
      </c>
      <c r="E160" s="467">
        <f t="shared" si="159"/>
        <v>2431178</v>
      </c>
      <c r="F160" s="467">
        <f>263.19*12</f>
        <v>3158.28</v>
      </c>
      <c r="G160" s="468">
        <v>161854.24</v>
      </c>
      <c r="H160" s="470"/>
      <c r="I160" s="467">
        <f t="shared" si="160"/>
        <v>2266165.48</v>
      </c>
      <c r="J160" s="467">
        <v>200000</v>
      </c>
      <c r="K160" s="467">
        <v>0.2</v>
      </c>
      <c r="L160" s="467">
        <f t="shared" si="161"/>
        <v>453233.096000001</v>
      </c>
      <c r="M160" s="467">
        <f t="shared" si="162"/>
        <v>653233.096000001</v>
      </c>
      <c r="N160" s="467">
        <f t="shared" si="163"/>
        <v>818245.616000001</v>
      </c>
      <c r="O160" s="467">
        <f t="shared" si="164"/>
        <v>1612932.384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2715.8006400007</v>
      </c>
      <c r="U160" s="467"/>
      <c r="V160" s="467">
        <f t="shared" si="171"/>
        <v>226715.800640001</v>
      </c>
      <c r="W160" s="474">
        <v>12</v>
      </c>
      <c r="X160" s="467">
        <f t="shared" si="172"/>
        <v>18892.9833866667</v>
      </c>
      <c r="Y160" s="470"/>
      <c r="Z160" s="467">
        <f t="shared" si="173"/>
        <v>18892.9833866667</v>
      </c>
      <c r="AA160" s="479">
        <v>10739.3048</v>
      </c>
      <c r="AB160" s="479">
        <f t="shared" si="17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366</v>
      </c>
      <c r="C161" s="467">
        <v>202598.166666667</v>
      </c>
      <c r="D161" s="466">
        <v>12</v>
      </c>
      <c r="E161" s="467">
        <f t="shared" si="159"/>
        <v>2431178</v>
      </c>
      <c r="F161" s="467"/>
      <c r="G161" s="468">
        <v>161854.24</v>
      </c>
      <c r="H161" s="470"/>
      <c r="I161" s="467">
        <f t="shared" si="160"/>
        <v>2269323.76</v>
      </c>
      <c r="J161" s="467">
        <v>200000</v>
      </c>
      <c r="K161" s="467">
        <v>0.2</v>
      </c>
      <c r="L161" s="467">
        <f t="shared" si="161"/>
        <v>453864.752000001</v>
      </c>
      <c r="M161" s="467">
        <f t="shared" si="162"/>
        <v>653864.752000001</v>
      </c>
      <c r="N161" s="467">
        <f t="shared" si="163"/>
        <v>815718.992000001</v>
      </c>
      <c r="O161" s="467">
        <f t="shared" si="164"/>
        <v>1615459.008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3246.39168000067</v>
      </c>
      <c r="U161" s="467"/>
      <c r="V161" s="467">
        <f t="shared" si="171"/>
        <v>227246.391680001</v>
      </c>
      <c r="W161" s="474">
        <v>12</v>
      </c>
      <c r="X161" s="467">
        <f t="shared" si="172"/>
        <v>18937.1993066667</v>
      </c>
      <c r="Y161" s="470"/>
      <c r="Z161" s="467">
        <f t="shared" si="173"/>
        <v>18937.1993066667</v>
      </c>
      <c r="AA161" s="479">
        <v>10776.4576266667</v>
      </c>
      <c r="AB161" s="479">
        <f t="shared" si="17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367</v>
      </c>
      <c r="C162" s="467">
        <v>200336.833333333</v>
      </c>
      <c r="D162" s="466">
        <v>12</v>
      </c>
      <c r="E162" s="467">
        <f t="shared" si="159"/>
        <v>2404042</v>
      </c>
      <c r="F162" s="467"/>
      <c r="G162" s="468">
        <v>156803.36</v>
      </c>
      <c r="H162" s="470"/>
      <c r="I162" s="467">
        <f t="shared" si="160"/>
        <v>2247238.64</v>
      </c>
      <c r="J162" s="467">
        <v>200000</v>
      </c>
      <c r="K162" s="467">
        <v>0.2</v>
      </c>
      <c r="L162" s="467">
        <f t="shared" si="161"/>
        <v>449447.727999999</v>
      </c>
      <c r="M162" s="467">
        <f t="shared" si="162"/>
        <v>649447.727999999</v>
      </c>
      <c r="N162" s="467">
        <f t="shared" si="163"/>
        <v>806251.087999999</v>
      </c>
      <c r="O162" s="467">
        <f t="shared" si="164"/>
        <v>1597790.912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94580.2732799994</v>
      </c>
      <c r="T162" s="467">
        <f t="shared" si="169"/>
        <v>0</v>
      </c>
      <c r="U162" s="467"/>
      <c r="V162" s="467">
        <f t="shared" si="171"/>
        <v>223580.273279999</v>
      </c>
      <c r="W162" s="474">
        <v>12</v>
      </c>
      <c r="X162" s="467">
        <f t="shared" si="172"/>
        <v>18631.6894399999</v>
      </c>
      <c r="Y162" s="470"/>
      <c r="Z162" s="467">
        <f t="shared" si="173"/>
        <v>18631.6894399999</v>
      </c>
      <c r="AA162" s="479">
        <v>11232.4576266667</v>
      </c>
      <c r="AB162" s="479">
        <f t="shared" si="17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369</v>
      </c>
      <c r="C163" s="467">
        <v>197336.833333333</v>
      </c>
      <c r="D163" s="466">
        <v>12</v>
      </c>
      <c r="E163" s="467">
        <f t="shared" si="159"/>
        <v>2368042</v>
      </c>
      <c r="F163" s="467"/>
      <c r="G163" s="468">
        <v>156803.36</v>
      </c>
      <c r="H163" s="470"/>
      <c r="I163" s="467">
        <f t="shared" si="160"/>
        <v>2211238.64</v>
      </c>
      <c r="J163" s="467">
        <v>200000</v>
      </c>
      <c r="K163" s="467">
        <v>0.2</v>
      </c>
      <c r="L163" s="467">
        <f t="shared" si="161"/>
        <v>442247.727999999</v>
      </c>
      <c r="M163" s="467">
        <f t="shared" si="162"/>
        <v>642247.727999999</v>
      </c>
      <c r="N163" s="467">
        <f t="shared" si="163"/>
        <v>799051.087999999</v>
      </c>
      <c r="O163" s="467">
        <f t="shared" si="164"/>
        <v>1568990.912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89108.2732799994</v>
      </c>
      <c r="T163" s="467">
        <f t="shared" si="169"/>
        <v>0</v>
      </c>
      <c r="U163" s="467"/>
      <c r="V163" s="467">
        <f t="shared" si="171"/>
        <v>218108.273279999</v>
      </c>
      <c r="W163" s="474">
        <v>12</v>
      </c>
      <c r="X163" s="467">
        <f t="shared" si="172"/>
        <v>18175.6894399999</v>
      </c>
      <c r="Y163" s="470"/>
      <c r="Z163" s="467">
        <f t="shared" si="173"/>
        <v>18175.6894399999</v>
      </c>
      <c r="AA163" s="479">
        <v>10776.4576266667</v>
      </c>
      <c r="AB163" s="479">
        <f t="shared" si="17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370</v>
      </c>
      <c r="C164" s="467">
        <v>200336.833333333</v>
      </c>
      <c r="D164" s="466">
        <v>12</v>
      </c>
      <c r="E164" s="467">
        <f t="shared" si="159"/>
        <v>2404042</v>
      </c>
      <c r="F164" s="467"/>
      <c r="G164" s="468">
        <v>156803.36</v>
      </c>
      <c r="H164" s="470"/>
      <c r="I164" s="467">
        <f t="shared" si="160"/>
        <v>2247238.64</v>
      </c>
      <c r="J164" s="467">
        <v>200000</v>
      </c>
      <c r="K164" s="467">
        <v>0.2</v>
      </c>
      <c r="L164" s="467">
        <f t="shared" si="161"/>
        <v>449447.727999999</v>
      </c>
      <c r="M164" s="467">
        <f t="shared" si="162"/>
        <v>649447.727999999</v>
      </c>
      <c r="N164" s="467">
        <f t="shared" si="163"/>
        <v>806251.087999999</v>
      </c>
      <c r="O164" s="467">
        <f t="shared" si="164"/>
        <v>1597790.912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94580.2732799994</v>
      </c>
      <c r="T164" s="467">
        <f t="shared" si="169"/>
        <v>0</v>
      </c>
      <c r="U164" s="467"/>
      <c r="V164" s="467">
        <f t="shared" si="171"/>
        <v>223580.273279999</v>
      </c>
      <c r="W164" s="474">
        <v>12</v>
      </c>
      <c r="X164" s="467">
        <f t="shared" si="172"/>
        <v>18631.6894399999</v>
      </c>
      <c r="Y164" s="470"/>
      <c r="Z164" s="467">
        <f t="shared" si="173"/>
        <v>18631.6894399999</v>
      </c>
      <c r="AA164" s="479">
        <v>11232.4576266667</v>
      </c>
      <c r="AB164" s="479">
        <f t="shared" si="17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371</v>
      </c>
      <c r="C165" s="467">
        <v>197336.833333333</v>
      </c>
      <c r="D165" s="466">
        <v>12</v>
      </c>
      <c r="E165" s="467">
        <f t="shared" si="159"/>
        <v>2368042</v>
      </c>
      <c r="F165" s="467"/>
      <c r="G165" s="468">
        <v>156803.36</v>
      </c>
      <c r="H165" s="470"/>
      <c r="I165" s="467">
        <f t="shared" si="160"/>
        <v>2211238.64</v>
      </c>
      <c r="J165" s="467">
        <v>200000</v>
      </c>
      <c r="K165" s="467">
        <v>0.2</v>
      </c>
      <c r="L165" s="467">
        <f t="shared" si="161"/>
        <v>442247.727999999</v>
      </c>
      <c r="M165" s="467">
        <f t="shared" si="162"/>
        <v>642247.727999999</v>
      </c>
      <c r="N165" s="467">
        <f t="shared" si="163"/>
        <v>799051.087999999</v>
      </c>
      <c r="O165" s="467">
        <f t="shared" si="164"/>
        <v>1568990.912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89108.2732799994</v>
      </c>
      <c r="T165" s="467">
        <f t="shared" si="169"/>
        <v>0</v>
      </c>
      <c r="U165" s="467"/>
      <c r="V165" s="467">
        <f t="shared" si="171"/>
        <v>218108.273279999</v>
      </c>
      <c r="W165" s="474">
        <v>12</v>
      </c>
      <c r="X165" s="467">
        <f t="shared" si="172"/>
        <v>18175.6894399999</v>
      </c>
      <c r="Y165" s="470"/>
      <c r="Z165" s="467">
        <f t="shared" si="173"/>
        <v>18175.6894399999</v>
      </c>
      <c r="AA165" s="479">
        <v>10776.4576266667</v>
      </c>
      <c r="AB165" s="479">
        <f t="shared" si="17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372</v>
      </c>
      <c r="C166" s="467">
        <v>197336.833333333</v>
      </c>
      <c r="D166" s="466">
        <v>12</v>
      </c>
      <c r="E166" s="467">
        <f t="shared" si="159"/>
        <v>2368042</v>
      </c>
      <c r="F166" s="467"/>
      <c r="G166" s="468">
        <v>156803.36</v>
      </c>
      <c r="H166" s="470"/>
      <c r="I166" s="467">
        <f t="shared" si="160"/>
        <v>2211238.64</v>
      </c>
      <c r="J166" s="467">
        <v>200000</v>
      </c>
      <c r="K166" s="467">
        <v>0.2</v>
      </c>
      <c r="L166" s="467">
        <f t="shared" si="161"/>
        <v>442247.727999999</v>
      </c>
      <c r="M166" s="467">
        <f t="shared" si="162"/>
        <v>642247.727999999</v>
      </c>
      <c r="N166" s="467">
        <f t="shared" si="163"/>
        <v>799051.087999999</v>
      </c>
      <c r="O166" s="467">
        <f t="shared" si="164"/>
        <v>1568990.912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89108.2732799994</v>
      </c>
      <c r="T166" s="467">
        <f t="shared" si="169"/>
        <v>0</v>
      </c>
      <c r="U166" s="467"/>
      <c r="V166" s="467">
        <f t="shared" si="171"/>
        <v>218108.273279999</v>
      </c>
      <c r="W166" s="474">
        <v>12</v>
      </c>
      <c r="X166" s="467">
        <f t="shared" si="172"/>
        <v>18175.6894399999</v>
      </c>
      <c r="Y166" s="470"/>
      <c r="Z166" s="467">
        <f t="shared" si="173"/>
        <v>18175.6894399999</v>
      </c>
      <c r="AA166" s="479">
        <v>10776.4576266667</v>
      </c>
      <c r="AB166" s="479">
        <f t="shared" si="17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359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373</v>
      </c>
      <c r="C168" s="467">
        <v>189814.166666667</v>
      </c>
      <c r="D168" s="466">
        <v>12</v>
      </c>
      <c r="E168" s="467">
        <f t="shared" si="159"/>
        <v>2277770</v>
      </c>
      <c r="F168" s="467"/>
      <c r="G168" s="468">
        <v>146701.6</v>
      </c>
      <c r="H168" s="470"/>
      <c r="I168" s="467">
        <f t="shared" si="160"/>
        <v>2131068.4</v>
      </c>
      <c r="J168" s="467">
        <v>200000</v>
      </c>
      <c r="K168" s="467">
        <v>0.2</v>
      </c>
      <c r="L168" s="467">
        <f t="shared" si="161"/>
        <v>426213.680000001</v>
      </c>
      <c r="M168" s="467">
        <f t="shared" si="162"/>
        <v>626213.680000001</v>
      </c>
      <c r="N168" s="467">
        <f t="shared" si="163"/>
        <v>772915.280000001</v>
      </c>
      <c r="O168" s="467">
        <f t="shared" si="164"/>
        <v>1504854.72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76922.3968000007</v>
      </c>
      <c r="T168" s="467">
        <f t="shared" si="169"/>
        <v>0</v>
      </c>
      <c r="U168" s="467"/>
      <c r="V168" s="467">
        <f t="shared" si="171"/>
        <v>205922.396800001</v>
      </c>
      <c r="W168" s="474">
        <v>12</v>
      </c>
      <c r="X168" s="467">
        <f t="shared" si="172"/>
        <v>17160.1997333334</v>
      </c>
      <c r="Y168" s="470"/>
      <c r="Z168" s="467">
        <f t="shared" si="173"/>
        <v>17160.1997333334</v>
      </c>
      <c r="AA168" s="479">
        <v>9152.59979</v>
      </c>
      <c r="AB168" s="479">
        <f t="shared" si="17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376</v>
      </c>
      <c r="C169" s="467">
        <v>189814.166666667</v>
      </c>
      <c r="D169" s="466">
        <v>12</v>
      </c>
      <c r="E169" s="467">
        <f t="shared" si="159"/>
        <v>2277770</v>
      </c>
      <c r="F169" s="467"/>
      <c r="G169" s="468">
        <v>146701.6</v>
      </c>
      <c r="H169" s="470"/>
      <c r="I169" s="467">
        <f t="shared" si="160"/>
        <v>2131068.4</v>
      </c>
      <c r="J169" s="467">
        <v>200000</v>
      </c>
      <c r="K169" s="467">
        <v>0.2</v>
      </c>
      <c r="L169" s="467">
        <f t="shared" si="161"/>
        <v>426213.680000001</v>
      </c>
      <c r="M169" s="467">
        <f t="shared" si="162"/>
        <v>626213.680000001</v>
      </c>
      <c r="N169" s="467">
        <f t="shared" si="163"/>
        <v>772915.280000001</v>
      </c>
      <c r="O169" s="467">
        <f t="shared" si="164"/>
        <v>1504854.72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76922.3968000007</v>
      </c>
      <c r="T169" s="467">
        <f t="shared" si="169"/>
        <v>0</v>
      </c>
      <c r="U169" s="467"/>
      <c r="V169" s="467">
        <f t="shared" si="171"/>
        <v>205922.396800001</v>
      </c>
      <c r="W169" s="474">
        <v>12</v>
      </c>
      <c r="X169" s="467">
        <f t="shared" si="172"/>
        <v>17160.1997333334</v>
      </c>
      <c r="Y169" s="470"/>
      <c r="Z169" s="467">
        <f t="shared" si="173"/>
        <v>17160.1997333334</v>
      </c>
      <c r="AA169" s="479">
        <v>9152.59979</v>
      </c>
      <c r="AB169" s="479">
        <f t="shared" si="17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377</v>
      </c>
      <c r="C170" s="467">
        <v>195075.5</v>
      </c>
      <c r="D170" s="466">
        <v>12</v>
      </c>
      <c r="E170" s="467">
        <f t="shared" si="159"/>
        <v>2340906</v>
      </c>
      <c r="F170" s="467"/>
      <c r="G170" s="468">
        <v>151752.48</v>
      </c>
      <c r="H170" s="470"/>
      <c r="I170" s="467">
        <f t="shared" si="160"/>
        <v>2189153.52</v>
      </c>
      <c r="J170" s="467">
        <v>200000</v>
      </c>
      <c r="K170" s="467">
        <v>0.2</v>
      </c>
      <c r="L170" s="467">
        <f t="shared" si="161"/>
        <v>437830.704</v>
      </c>
      <c r="M170" s="467">
        <f t="shared" si="162"/>
        <v>637830.704</v>
      </c>
      <c r="N170" s="467">
        <f t="shared" si="163"/>
        <v>789583.184</v>
      </c>
      <c r="O170" s="467">
        <f t="shared" si="164"/>
        <v>1551322.816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85751.33504</v>
      </c>
      <c r="T170" s="467">
        <f t="shared" si="169"/>
        <v>0</v>
      </c>
      <c r="U170" s="467"/>
      <c r="V170" s="467">
        <f t="shared" si="171"/>
        <v>214751.33504</v>
      </c>
      <c r="W170" s="474">
        <v>12</v>
      </c>
      <c r="X170" s="467">
        <f t="shared" si="172"/>
        <v>17895.9445866667</v>
      </c>
      <c r="Y170" s="470"/>
      <c r="Z170" s="467">
        <f t="shared" si="173"/>
        <v>17895.9445866667</v>
      </c>
      <c r="AA170" s="479">
        <v>9504.20414</v>
      </c>
      <c r="AB170" s="479">
        <f t="shared" si="17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379</v>
      </c>
      <c r="C171" s="467">
        <v>121145.75</v>
      </c>
      <c r="D171" s="466">
        <v>12</v>
      </c>
      <c r="E171" s="467">
        <f t="shared" si="159"/>
        <v>1453749</v>
      </c>
      <c r="F171" s="467"/>
      <c r="G171" s="468">
        <v>90379.92</v>
      </c>
      <c r="H171" s="470"/>
      <c r="I171" s="467">
        <f t="shared" si="160"/>
        <v>1363369.08</v>
      </c>
      <c r="J171" s="467">
        <v>200000</v>
      </c>
      <c r="K171" s="467">
        <v>0.2</v>
      </c>
      <c r="L171" s="467">
        <f t="shared" si="161"/>
        <v>272673.816</v>
      </c>
      <c r="M171" s="467">
        <f t="shared" si="162"/>
        <v>472673.816</v>
      </c>
      <c r="N171" s="467">
        <f t="shared" si="163"/>
        <v>563053.736</v>
      </c>
      <c r="O171" s="467">
        <f t="shared" si="164"/>
        <v>890695.264</v>
      </c>
      <c r="P171" s="467">
        <f t="shared" si="165"/>
        <v>21000</v>
      </c>
      <c r="Q171" s="467">
        <f t="shared" si="166"/>
        <v>33000</v>
      </c>
      <c r="R171" s="467">
        <f t="shared" si="167"/>
        <v>43604.2896</v>
      </c>
      <c r="S171" s="467">
        <f t="shared" si="168"/>
        <v>0</v>
      </c>
      <c r="T171" s="467">
        <f t="shared" si="169"/>
        <v>0</v>
      </c>
      <c r="U171" s="467"/>
      <c r="V171" s="467">
        <f t="shared" si="171"/>
        <v>97604.2896</v>
      </c>
      <c r="W171" s="474">
        <v>12</v>
      </c>
      <c r="X171" s="467">
        <f t="shared" si="172"/>
        <v>8133.6908</v>
      </c>
      <c r="Y171" s="470"/>
      <c r="Z171" s="467">
        <f t="shared" si="173"/>
        <v>8133.6908</v>
      </c>
      <c r="AA171" s="479">
        <v>4365.33075466667</v>
      </c>
      <c r="AB171" s="479">
        <f t="shared" si="17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382</v>
      </c>
      <c r="C172" s="467">
        <v>118598</v>
      </c>
      <c r="D172" s="466">
        <v>12</v>
      </c>
      <c r="E172" s="467">
        <f t="shared" si="159"/>
        <v>1423176</v>
      </c>
      <c r="F172" s="467"/>
      <c r="G172" s="468">
        <v>87934.08</v>
      </c>
      <c r="H172" s="470"/>
      <c r="I172" s="467">
        <f t="shared" si="160"/>
        <v>1335241.92</v>
      </c>
      <c r="J172" s="467">
        <v>200000</v>
      </c>
      <c r="K172" s="467">
        <v>0.2</v>
      </c>
      <c r="L172" s="467">
        <f t="shared" si="161"/>
        <v>267048.384</v>
      </c>
      <c r="M172" s="467">
        <f t="shared" si="162"/>
        <v>467048.384</v>
      </c>
      <c r="N172" s="467">
        <f t="shared" si="163"/>
        <v>554982.464</v>
      </c>
      <c r="O172" s="467">
        <f t="shared" si="164"/>
        <v>868193.536</v>
      </c>
      <c r="P172" s="467">
        <f t="shared" si="165"/>
        <v>21000</v>
      </c>
      <c r="Q172" s="467">
        <f t="shared" si="166"/>
        <v>33000</v>
      </c>
      <c r="R172" s="467">
        <f t="shared" si="167"/>
        <v>40229.0304</v>
      </c>
      <c r="S172" s="467">
        <f t="shared" si="168"/>
        <v>0</v>
      </c>
      <c r="T172" s="467">
        <f t="shared" si="169"/>
        <v>0</v>
      </c>
      <c r="U172" s="467"/>
      <c r="V172" s="467">
        <f t="shared" si="171"/>
        <v>94229.0304</v>
      </c>
      <c r="W172" s="474">
        <v>12</v>
      </c>
      <c r="X172" s="467">
        <f t="shared" si="172"/>
        <v>7852.4192</v>
      </c>
      <c r="Y172" s="470"/>
      <c r="Z172" s="467">
        <f t="shared" si="173"/>
        <v>7852.4192</v>
      </c>
      <c r="AA172" s="479">
        <v>4227.52372266667</v>
      </c>
      <c r="AB172" s="479">
        <f t="shared" si="17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383</v>
      </c>
      <c r="C173" s="467">
        <v>115598</v>
      </c>
      <c r="D173" s="466">
        <v>12</v>
      </c>
      <c r="E173" s="467">
        <f t="shared" si="159"/>
        <v>1387176</v>
      </c>
      <c r="F173" s="467"/>
      <c r="G173" s="468">
        <v>87934.08</v>
      </c>
      <c r="H173" s="470"/>
      <c r="I173" s="467">
        <f t="shared" si="160"/>
        <v>1299241.92</v>
      </c>
      <c r="J173" s="467">
        <v>200000</v>
      </c>
      <c r="K173" s="467">
        <v>0.2</v>
      </c>
      <c r="L173" s="467">
        <f t="shared" si="161"/>
        <v>259848.384</v>
      </c>
      <c r="M173" s="467">
        <f t="shared" si="162"/>
        <v>459848.384</v>
      </c>
      <c r="N173" s="467">
        <f t="shared" si="163"/>
        <v>547782.464</v>
      </c>
      <c r="O173" s="467">
        <f t="shared" si="164"/>
        <v>839393.536</v>
      </c>
      <c r="P173" s="467">
        <f t="shared" si="165"/>
        <v>21000</v>
      </c>
      <c r="Q173" s="467">
        <f t="shared" si="166"/>
        <v>33000</v>
      </c>
      <c r="R173" s="467">
        <f t="shared" si="167"/>
        <v>35909.0304</v>
      </c>
      <c r="S173" s="467">
        <f t="shared" si="168"/>
        <v>0</v>
      </c>
      <c r="T173" s="467">
        <f t="shared" si="169"/>
        <v>0</v>
      </c>
      <c r="U173" s="467"/>
      <c r="V173" s="467">
        <f t="shared" si="171"/>
        <v>89909.0304</v>
      </c>
      <c r="W173" s="474">
        <v>12</v>
      </c>
      <c r="X173" s="467">
        <f t="shared" si="172"/>
        <v>7492.4192</v>
      </c>
      <c r="Y173" s="470"/>
      <c r="Z173" s="467">
        <f t="shared" si="173"/>
        <v>7492.4192</v>
      </c>
      <c r="AA173" s="479">
        <v>3963.52372266667</v>
      </c>
      <c r="AB173" s="479">
        <f t="shared" si="17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384</v>
      </c>
      <c r="C174" s="467">
        <v>118598</v>
      </c>
      <c r="D174" s="466">
        <v>12</v>
      </c>
      <c r="E174" s="467">
        <f t="shared" si="159"/>
        <v>1423176</v>
      </c>
      <c r="F174" s="467"/>
      <c r="G174" s="468">
        <v>87934.08</v>
      </c>
      <c r="H174" s="470"/>
      <c r="I174" s="467">
        <f t="shared" si="160"/>
        <v>1335241.92</v>
      </c>
      <c r="J174" s="467">
        <v>200000</v>
      </c>
      <c r="K174" s="467">
        <v>0.2</v>
      </c>
      <c r="L174" s="467">
        <f t="shared" si="161"/>
        <v>267048.384</v>
      </c>
      <c r="M174" s="467">
        <f t="shared" si="162"/>
        <v>467048.384</v>
      </c>
      <c r="N174" s="467">
        <f t="shared" si="163"/>
        <v>554982.464</v>
      </c>
      <c r="O174" s="467">
        <f t="shared" si="164"/>
        <v>868193.536</v>
      </c>
      <c r="P174" s="467">
        <f t="shared" si="165"/>
        <v>21000</v>
      </c>
      <c r="Q174" s="467">
        <f t="shared" si="166"/>
        <v>33000</v>
      </c>
      <c r="R174" s="467">
        <f t="shared" si="167"/>
        <v>40229.0304</v>
      </c>
      <c r="S174" s="467">
        <f t="shared" si="168"/>
        <v>0</v>
      </c>
      <c r="T174" s="467">
        <f t="shared" si="169"/>
        <v>0</v>
      </c>
      <c r="U174" s="467"/>
      <c r="V174" s="467">
        <f t="shared" si="171"/>
        <v>94229.0304</v>
      </c>
      <c r="W174" s="474">
        <v>12</v>
      </c>
      <c r="X174" s="467">
        <f t="shared" si="172"/>
        <v>7852.4192</v>
      </c>
      <c r="Y174" s="470"/>
      <c r="Z174" s="467">
        <f t="shared" si="173"/>
        <v>7852.4192</v>
      </c>
      <c r="AA174" s="479">
        <v>4227.52372266667</v>
      </c>
      <c r="AB174" s="479">
        <f t="shared" si="174"/>
        <v>3624.89547733333</v>
      </c>
      <c r="AC174" s="479"/>
      <c r="AD174" s="479"/>
      <c r="AE174" s="479"/>
    </row>
    <row r="175" ht="18" spans="1:31">
      <c r="A175" s="475"/>
      <c r="B175" s="11" t="s">
        <v>385</v>
      </c>
      <c r="C175" s="483">
        <v>115598</v>
      </c>
      <c r="D175" s="466">
        <v>12</v>
      </c>
      <c r="E175" s="467">
        <f t="shared" si="159"/>
        <v>1387176</v>
      </c>
      <c r="F175" s="467"/>
      <c r="G175" s="468">
        <v>87934.08</v>
      </c>
      <c r="H175" s="470"/>
      <c r="I175" s="467">
        <f t="shared" si="160"/>
        <v>1299241.92</v>
      </c>
      <c r="J175" s="467">
        <v>200000</v>
      </c>
      <c r="K175" s="467">
        <v>0.2</v>
      </c>
      <c r="L175" s="467">
        <f t="shared" si="161"/>
        <v>259848.384</v>
      </c>
      <c r="M175" s="467">
        <f t="shared" si="162"/>
        <v>459848.384</v>
      </c>
      <c r="N175" s="467">
        <f t="shared" si="163"/>
        <v>547782.464</v>
      </c>
      <c r="O175" s="467">
        <f t="shared" si="164"/>
        <v>839393.536</v>
      </c>
      <c r="P175" s="467">
        <f t="shared" si="165"/>
        <v>21000</v>
      </c>
      <c r="Q175" s="467">
        <f t="shared" si="166"/>
        <v>33000</v>
      </c>
      <c r="R175" s="467">
        <f t="shared" si="167"/>
        <v>35909.0304</v>
      </c>
      <c r="S175" s="467">
        <f t="shared" si="168"/>
        <v>0</v>
      </c>
      <c r="T175" s="467">
        <f t="shared" si="169"/>
        <v>0</v>
      </c>
      <c r="U175" s="467"/>
      <c r="V175" s="467">
        <f t="shared" si="171"/>
        <v>89909.0304</v>
      </c>
      <c r="W175" s="474">
        <v>12</v>
      </c>
      <c r="X175" s="467">
        <f t="shared" si="172"/>
        <v>7492.4192</v>
      </c>
      <c r="Y175" s="470"/>
      <c r="Z175" s="467">
        <f t="shared" si="173"/>
        <v>7492.4192</v>
      </c>
      <c r="AA175" s="479">
        <v>3963.52372266667</v>
      </c>
      <c r="AB175" s="479">
        <f t="shared" si="174"/>
        <v>3528.89547733333</v>
      </c>
      <c r="AC175" s="479"/>
      <c r="AD175" s="479"/>
      <c r="AE175" s="479"/>
    </row>
    <row r="176" ht="18" spans="1:28">
      <c r="A176" s="475"/>
      <c r="B176" s="11" t="s">
        <v>386</v>
      </c>
      <c r="C176" s="483">
        <v>118598</v>
      </c>
      <c r="D176" s="466">
        <v>12</v>
      </c>
      <c r="E176" s="467">
        <f t="shared" si="159"/>
        <v>1423176</v>
      </c>
      <c r="F176" s="467"/>
      <c r="G176" s="468">
        <v>87934.08</v>
      </c>
      <c r="H176" s="470"/>
      <c r="I176" s="467">
        <f t="shared" si="160"/>
        <v>1335241.92</v>
      </c>
      <c r="J176" s="467">
        <v>200000</v>
      </c>
      <c r="K176" s="467">
        <v>0.2</v>
      </c>
      <c r="L176" s="467">
        <f t="shared" si="161"/>
        <v>267048.384</v>
      </c>
      <c r="M176" s="467">
        <f t="shared" si="162"/>
        <v>467048.384</v>
      </c>
      <c r="N176" s="467">
        <f t="shared" si="163"/>
        <v>554982.464</v>
      </c>
      <c r="O176" s="467">
        <f t="shared" si="164"/>
        <v>868193.536</v>
      </c>
      <c r="P176" s="467">
        <f t="shared" si="165"/>
        <v>21000</v>
      </c>
      <c r="Q176" s="467">
        <f t="shared" si="166"/>
        <v>33000</v>
      </c>
      <c r="R176" s="467">
        <f t="shared" si="167"/>
        <v>40229.0304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94229.0304</v>
      </c>
      <c r="W176" s="474">
        <v>12</v>
      </c>
      <c r="X176" s="467">
        <f t="shared" si="172"/>
        <v>7852.4192</v>
      </c>
      <c r="Y176" s="470"/>
      <c r="Z176" s="467">
        <f t="shared" si="173"/>
        <v>7852.4192</v>
      </c>
      <c r="AA176" s="479">
        <v>4227.52372266667</v>
      </c>
      <c r="AB176" s="479">
        <f t="shared" si="174"/>
        <v>3624.89547733333</v>
      </c>
    </row>
    <row r="177" ht="18" spans="2:28">
      <c r="B177" s="18" t="s">
        <v>387</v>
      </c>
      <c r="C177" s="479">
        <v>115598</v>
      </c>
      <c r="D177" s="466">
        <v>12</v>
      </c>
      <c r="E177" s="467">
        <f t="shared" si="159"/>
        <v>1387176</v>
      </c>
      <c r="G177" s="468">
        <v>87934.08</v>
      </c>
      <c r="I177" s="467">
        <f t="shared" si="160"/>
        <v>1299241.92</v>
      </c>
      <c r="J177" s="467">
        <v>200000</v>
      </c>
      <c r="K177" s="467">
        <v>0.2</v>
      </c>
      <c r="L177" s="467">
        <f t="shared" si="161"/>
        <v>259848.384</v>
      </c>
      <c r="M177" s="467">
        <f t="shared" si="162"/>
        <v>459848.384</v>
      </c>
      <c r="N177" s="467">
        <f t="shared" si="163"/>
        <v>547782.464</v>
      </c>
      <c r="O177" s="467">
        <f t="shared" si="164"/>
        <v>839393.536</v>
      </c>
      <c r="P177" s="467">
        <f t="shared" si="165"/>
        <v>21000</v>
      </c>
      <c r="Q177" s="467">
        <f t="shared" si="166"/>
        <v>33000</v>
      </c>
      <c r="R177" s="467">
        <f t="shared" si="167"/>
        <v>35909.0304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89909.0304</v>
      </c>
      <c r="W177" s="474">
        <v>12</v>
      </c>
      <c r="X177" s="467">
        <f t="shared" si="172"/>
        <v>7492.4192</v>
      </c>
      <c r="Z177" s="467">
        <f t="shared" si="173"/>
        <v>7492.4192</v>
      </c>
      <c r="AA177" s="479">
        <v>3963.52372266667</v>
      </c>
      <c r="AB177" s="479">
        <f t="shared" si="174"/>
        <v>3528.89547733333</v>
      </c>
    </row>
    <row r="178" ht="18" spans="2:28">
      <c r="B178" s="18" t="s">
        <v>389</v>
      </c>
      <c r="C178" s="479">
        <v>118598</v>
      </c>
      <c r="D178" s="466">
        <v>12</v>
      </c>
      <c r="E178" s="467">
        <f t="shared" si="159"/>
        <v>1423176</v>
      </c>
      <c r="G178" s="468">
        <v>87934.08</v>
      </c>
      <c r="I178" s="467">
        <f t="shared" si="160"/>
        <v>1335241.92</v>
      </c>
      <c r="J178" s="467">
        <v>200000</v>
      </c>
      <c r="K178" s="467">
        <v>0.2</v>
      </c>
      <c r="L178" s="467">
        <f t="shared" si="161"/>
        <v>267048.384</v>
      </c>
      <c r="M178" s="467">
        <f t="shared" si="162"/>
        <v>467048.384</v>
      </c>
      <c r="N178" s="467">
        <f t="shared" si="163"/>
        <v>554982.464</v>
      </c>
      <c r="O178" s="467">
        <f t="shared" si="164"/>
        <v>868193.536</v>
      </c>
      <c r="P178" s="467">
        <f t="shared" si="165"/>
        <v>21000</v>
      </c>
      <c r="Q178" s="467">
        <f t="shared" si="166"/>
        <v>33000</v>
      </c>
      <c r="R178" s="467">
        <f t="shared" si="167"/>
        <v>40229.0304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94229.0304</v>
      </c>
      <c r="W178" s="474">
        <v>12</v>
      </c>
      <c r="X178" s="467">
        <f t="shared" si="172"/>
        <v>7852.4192</v>
      </c>
      <c r="Z178" s="467">
        <f t="shared" si="173"/>
        <v>7852.4192</v>
      </c>
      <c r="AA178" s="479">
        <v>4227.52372266667</v>
      </c>
      <c r="AB178" s="479">
        <f t="shared" si="174"/>
        <v>3624.89547733333</v>
      </c>
    </row>
    <row r="179" ht="18" spans="2:28">
      <c r="B179" s="11" t="s">
        <v>572</v>
      </c>
      <c r="C179" s="479">
        <v>118598</v>
      </c>
      <c r="D179" s="466">
        <v>12</v>
      </c>
      <c r="E179" s="467">
        <f t="shared" si="159"/>
        <v>1423176</v>
      </c>
      <c r="G179" s="468">
        <v>87934.08</v>
      </c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V179" s="467">
        <f t="shared" si="171"/>
        <v>94229.0304</v>
      </c>
      <c r="W179" s="474">
        <v>12</v>
      </c>
      <c r="X179" s="467">
        <f t="shared" si="172"/>
        <v>7852.4192</v>
      </c>
      <c r="Z179" s="467">
        <f t="shared" si="173"/>
        <v>7852.4192</v>
      </c>
      <c r="AA179" s="479">
        <v>4089.71669066667</v>
      </c>
      <c r="AB179" s="479">
        <f t="shared" si="174"/>
        <v>3762.70250933333</v>
      </c>
    </row>
    <row r="180" ht="18" spans="2:28">
      <c r="B180" s="11" t="s">
        <v>392</v>
      </c>
      <c r="C180" s="479">
        <v>118598</v>
      </c>
      <c r="D180" s="466">
        <v>12</v>
      </c>
      <c r="E180" s="467">
        <f t="shared" si="159"/>
        <v>1423176</v>
      </c>
      <c r="G180" s="468">
        <v>87934.08</v>
      </c>
      <c r="I180" s="467">
        <f t="shared" si="160"/>
        <v>1335241.92</v>
      </c>
      <c r="J180" s="467">
        <v>200000</v>
      </c>
      <c r="K180" s="467">
        <v>0.2</v>
      </c>
      <c r="L180" s="467">
        <f t="shared" si="161"/>
        <v>267048.384</v>
      </c>
      <c r="M180" s="467">
        <f t="shared" si="162"/>
        <v>467048.384</v>
      </c>
      <c r="N180" s="467">
        <f t="shared" si="163"/>
        <v>554982.464</v>
      </c>
      <c r="O180" s="467">
        <f t="shared" si="164"/>
        <v>868193.536</v>
      </c>
      <c r="P180" s="467">
        <f t="shared" si="165"/>
        <v>21000</v>
      </c>
      <c r="Q180" s="467">
        <f t="shared" si="166"/>
        <v>33000</v>
      </c>
      <c r="R180" s="467">
        <f t="shared" si="167"/>
        <v>40229.0304</v>
      </c>
      <c r="S180" s="467">
        <f t="shared" si="168"/>
        <v>0</v>
      </c>
      <c r="T180" s="467">
        <f t="shared" si="169"/>
        <v>0</v>
      </c>
      <c r="V180" s="467">
        <f t="shared" si="171"/>
        <v>94229.0304</v>
      </c>
      <c r="W180" s="474">
        <v>12</v>
      </c>
      <c r="X180" s="467">
        <f t="shared" si="172"/>
        <v>7852.4192</v>
      </c>
      <c r="Z180" s="467">
        <f t="shared" si="173"/>
        <v>7852.4192</v>
      </c>
      <c r="AA180" s="479">
        <v>4227.52372266667</v>
      </c>
      <c r="AB180" s="479">
        <f t="shared" si="174"/>
        <v>3624.89547733333</v>
      </c>
    </row>
    <row r="181" ht="18" spans="2:28">
      <c r="B181" s="18" t="s">
        <v>360</v>
      </c>
      <c r="C181" s="479">
        <v>116050.25</v>
      </c>
      <c r="D181" s="466">
        <v>12</v>
      </c>
      <c r="E181" s="467">
        <f t="shared" si="159"/>
        <v>1392603</v>
      </c>
      <c r="G181" s="468">
        <v>85488.24</v>
      </c>
      <c r="I181" s="467">
        <f t="shared" si="160"/>
        <v>1307114.76</v>
      </c>
      <c r="J181" s="467">
        <v>200000</v>
      </c>
      <c r="K181" s="467">
        <v>0.2</v>
      </c>
      <c r="L181" s="467">
        <f t="shared" si="161"/>
        <v>261422.952</v>
      </c>
      <c r="M181" s="467">
        <f t="shared" si="162"/>
        <v>461422.952</v>
      </c>
      <c r="N181" s="467">
        <f t="shared" si="163"/>
        <v>546911.192</v>
      </c>
      <c r="O181" s="467">
        <f t="shared" si="164"/>
        <v>845691.808</v>
      </c>
      <c r="P181" s="467">
        <f t="shared" si="165"/>
        <v>21000</v>
      </c>
      <c r="Q181" s="467">
        <f t="shared" si="166"/>
        <v>33000</v>
      </c>
      <c r="R181" s="467">
        <f t="shared" si="167"/>
        <v>36853.7712</v>
      </c>
      <c r="S181" s="467">
        <f t="shared" si="168"/>
        <v>0</v>
      </c>
      <c r="T181" s="467">
        <f t="shared" si="169"/>
        <v>0</v>
      </c>
      <c r="V181" s="467">
        <f t="shared" si="171"/>
        <v>90853.7712</v>
      </c>
      <c r="W181" s="474">
        <v>12</v>
      </c>
      <c r="X181" s="467">
        <f t="shared" si="172"/>
        <v>7571.1476</v>
      </c>
      <c r="Z181" s="467">
        <f t="shared" si="173"/>
        <v>7571.1476</v>
      </c>
      <c r="AA181" s="479">
        <v>4089.71669066667</v>
      </c>
      <c r="AB181" s="479">
        <f t="shared" si="174"/>
        <v>3481.43090933333</v>
      </c>
    </row>
    <row r="182" ht="18" spans="2:28">
      <c r="B182" s="18" t="s">
        <v>397</v>
      </c>
      <c r="C182" s="479">
        <v>102926.916666667</v>
      </c>
      <c r="D182" s="466">
        <v>12</v>
      </c>
      <c r="E182" s="467">
        <f t="shared" si="159"/>
        <v>1235123</v>
      </c>
      <c r="G182" s="468">
        <v>77689.84</v>
      </c>
      <c r="I182" s="467">
        <f t="shared" si="160"/>
        <v>1157433.16</v>
      </c>
      <c r="J182" s="467">
        <v>200000</v>
      </c>
      <c r="K182" s="467">
        <v>0.2</v>
      </c>
      <c r="L182" s="467">
        <f t="shared" si="161"/>
        <v>231486.632000001</v>
      </c>
      <c r="M182" s="467">
        <f t="shared" si="162"/>
        <v>431486.632000001</v>
      </c>
      <c r="N182" s="467">
        <f t="shared" si="163"/>
        <v>509176.472000001</v>
      </c>
      <c r="O182" s="467">
        <f t="shared" si="164"/>
        <v>725946.528000003</v>
      </c>
      <c r="P182" s="467">
        <f t="shared" si="165"/>
        <v>21000</v>
      </c>
      <c r="Q182" s="467">
        <f t="shared" si="166"/>
        <v>33000</v>
      </c>
      <c r="R182" s="467">
        <f t="shared" si="167"/>
        <v>18891.9792000005</v>
      </c>
      <c r="S182" s="467">
        <f t="shared" si="168"/>
        <v>0</v>
      </c>
      <c r="T182" s="467">
        <f t="shared" si="169"/>
        <v>0</v>
      </c>
      <c r="V182" s="467">
        <f t="shared" si="171"/>
        <v>72891.9792000005</v>
      </c>
      <c r="W182" s="474">
        <v>12</v>
      </c>
      <c r="X182" s="467">
        <f t="shared" si="172"/>
        <v>6074.33160000004</v>
      </c>
      <c r="Z182" s="467">
        <f t="shared" si="173"/>
        <v>6074.33160000004</v>
      </c>
      <c r="AA182" s="479">
        <v>3210.15440486667</v>
      </c>
      <c r="AB182" s="479">
        <f t="shared" si="174"/>
        <v>2864.17719513337</v>
      </c>
    </row>
    <row r="183" ht="18" spans="2:28">
      <c r="B183" s="18" t="s">
        <v>401</v>
      </c>
      <c r="C183" s="479">
        <v>95540.75</v>
      </c>
      <c r="D183" s="466">
        <v>12</v>
      </c>
      <c r="E183" s="467">
        <f t="shared" si="159"/>
        <v>1146489</v>
      </c>
      <c r="G183" s="468">
        <f t="shared" ref="G183:G185" si="176">6123.26*12</f>
        <v>73479.12</v>
      </c>
      <c r="I183" s="467">
        <f t="shared" si="160"/>
        <v>1073009.88</v>
      </c>
      <c r="J183" s="467">
        <v>200000</v>
      </c>
      <c r="K183" s="467">
        <v>0.2</v>
      </c>
      <c r="L183" s="467">
        <f t="shared" si="161"/>
        <v>214601.976</v>
      </c>
      <c r="M183" s="467">
        <f t="shared" si="162"/>
        <v>414601.976</v>
      </c>
      <c r="N183" s="467">
        <f t="shared" si="163"/>
        <v>488081.096</v>
      </c>
      <c r="O183" s="467">
        <f t="shared" si="164"/>
        <v>658407.904</v>
      </c>
      <c r="P183" s="467">
        <f t="shared" si="165"/>
        <v>21000</v>
      </c>
      <c r="Q183" s="467">
        <f t="shared" si="166"/>
        <v>33000</v>
      </c>
      <c r="R183" s="467">
        <f t="shared" si="167"/>
        <v>8761.1856</v>
      </c>
      <c r="S183" s="467">
        <f t="shared" si="168"/>
        <v>0</v>
      </c>
      <c r="T183" s="467">
        <f t="shared" si="169"/>
        <v>0</v>
      </c>
      <c r="V183" s="467">
        <f t="shared" si="171"/>
        <v>62761.1856</v>
      </c>
      <c r="W183" s="474">
        <v>12</v>
      </c>
      <c r="X183" s="467">
        <f t="shared" si="172"/>
        <v>5230.0988</v>
      </c>
      <c r="Z183" s="467">
        <f t="shared" si="173"/>
        <v>5230.0988</v>
      </c>
      <c r="AA183" s="479">
        <v>2708.91364066667</v>
      </c>
      <c r="AB183" s="479">
        <f t="shared" si="174"/>
        <v>2521.18515933333</v>
      </c>
    </row>
    <row r="184" ht="18" spans="2:28">
      <c r="B184" s="18" t="s">
        <v>404</v>
      </c>
      <c r="C184" s="479">
        <v>95540.75</v>
      </c>
      <c r="D184" s="466">
        <v>12</v>
      </c>
      <c r="E184" s="467">
        <f t="shared" si="159"/>
        <v>1146489</v>
      </c>
      <c r="G184" s="468">
        <f t="shared" si="176"/>
        <v>73479.12</v>
      </c>
      <c r="I184" s="467">
        <f t="shared" si="160"/>
        <v>1073009.88</v>
      </c>
      <c r="J184" s="467">
        <v>200000</v>
      </c>
      <c r="K184" s="467">
        <v>0.2</v>
      </c>
      <c r="L184" s="467">
        <f t="shared" si="161"/>
        <v>214601.976</v>
      </c>
      <c r="M184" s="467">
        <f t="shared" si="162"/>
        <v>414601.976</v>
      </c>
      <c r="N184" s="467">
        <f t="shared" si="163"/>
        <v>488081.096</v>
      </c>
      <c r="O184" s="467">
        <f t="shared" si="164"/>
        <v>658407.904</v>
      </c>
      <c r="P184" s="467">
        <f t="shared" si="165"/>
        <v>21000</v>
      </c>
      <c r="Q184" s="467">
        <f t="shared" si="166"/>
        <v>33000</v>
      </c>
      <c r="R184" s="467">
        <f t="shared" si="167"/>
        <v>8761.1856</v>
      </c>
      <c r="S184" s="467">
        <f t="shared" si="168"/>
        <v>0</v>
      </c>
      <c r="T184" s="467">
        <f t="shared" si="169"/>
        <v>0</v>
      </c>
      <c r="V184" s="467">
        <f t="shared" si="171"/>
        <v>62761.1856</v>
      </c>
      <c r="W184" s="474">
        <v>12</v>
      </c>
      <c r="X184" s="467">
        <f t="shared" si="172"/>
        <v>5230.0988</v>
      </c>
      <c r="Z184" s="467">
        <f t="shared" si="173"/>
        <v>5230.0988</v>
      </c>
      <c r="AA184" s="479">
        <v>2708.91364066667</v>
      </c>
      <c r="AB184" s="479">
        <f t="shared" si="174"/>
        <v>2521.18515933333</v>
      </c>
    </row>
    <row r="185" ht="18" spans="2:28">
      <c r="B185" s="18" t="s">
        <v>405</v>
      </c>
      <c r="C185" s="479">
        <v>80195.93</v>
      </c>
      <c r="D185" s="466">
        <v>12</v>
      </c>
      <c r="E185" s="467">
        <f t="shared" si="159"/>
        <v>962351.16</v>
      </c>
      <c r="G185" s="468">
        <f t="shared" si="176"/>
        <v>73479.12</v>
      </c>
      <c r="I185" s="467">
        <f t="shared" si="160"/>
        <v>888872.04</v>
      </c>
      <c r="J185" s="467">
        <v>200000</v>
      </c>
      <c r="K185" s="467">
        <v>0.2</v>
      </c>
      <c r="L185" s="467">
        <f t="shared" si="161"/>
        <v>177774.408</v>
      </c>
      <c r="M185" s="467">
        <f t="shared" si="162"/>
        <v>377774.408</v>
      </c>
      <c r="N185" s="467">
        <f t="shared" si="163"/>
        <v>451253.528</v>
      </c>
      <c r="O185" s="467">
        <f t="shared" si="164"/>
        <v>511097.632</v>
      </c>
      <c r="P185" s="467">
        <f t="shared" si="165"/>
        <v>21000</v>
      </c>
      <c r="Q185" s="467">
        <f t="shared" si="166"/>
        <v>23220.73952</v>
      </c>
      <c r="R185" s="467">
        <f t="shared" si="167"/>
        <v>0</v>
      </c>
      <c r="S185" s="467">
        <f t="shared" si="168"/>
        <v>0</v>
      </c>
      <c r="T185" s="467">
        <f t="shared" si="169"/>
        <v>0</v>
      </c>
      <c r="V185" s="467">
        <f t="shared" si="171"/>
        <v>44220.73952</v>
      </c>
      <c r="W185" s="474">
        <v>12</v>
      </c>
      <c r="X185" s="467">
        <f t="shared" si="172"/>
        <v>3685.06162666667</v>
      </c>
      <c r="Z185" s="467">
        <f t="shared" si="173"/>
        <v>3685.06162666667</v>
      </c>
      <c r="AA185" s="479">
        <v>2708.91364066667</v>
      </c>
      <c r="AB185" s="479">
        <f t="shared" si="174"/>
        <v>976.147985999996</v>
      </c>
    </row>
    <row r="186" ht="18" spans="2:28">
      <c r="B186" s="484" t="s">
        <v>406</v>
      </c>
      <c r="C186" s="479">
        <v>108502.5</v>
      </c>
      <c r="D186" s="485">
        <v>12</v>
      </c>
      <c r="E186" s="486">
        <f t="shared" si="159"/>
        <v>1302030</v>
      </c>
      <c r="G186" s="487">
        <f>6920.2*12</f>
        <v>83042.4</v>
      </c>
      <c r="I186" s="486">
        <f t="shared" si="160"/>
        <v>1218987.6</v>
      </c>
      <c r="J186" s="467">
        <v>200000</v>
      </c>
      <c r="K186" s="467">
        <v>0.2</v>
      </c>
      <c r="L186" s="467">
        <f t="shared" si="161"/>
        <v>243797.52</v>
      </c>
      <c r="M186" s="467">
        <f t="shared" si="162"/>
        <v>443797.52</v>
      </c>
      <c r="N186" s="467">
        <f t="shared" si="163"/>
        <v>526839.92</v>
      </c>
      <c r="O186" s="467">
        <f t="shared" si="164"/>
        <v>775190.08</v>
      </c>
      <c r="P186" s="467">
        <f t="shared" si="165"/>
        <v>21000</v>
      </c>
      <c r="Q186" s="467">
        <f t="shared" si="166"/>
        <v>33000</v>
      </c>
      <c r="R186" s="467">
        <f t="shared" si="167"/>
        <v>26278.512</v>
      </c>
      <c r="S186" s="467">
        <f t="shared" si="168"/>
        <v>0</v>
      </c>
      <c r="T186" s="467">
        <f t="shared" si="169"/>
        <v>0</v>
      </c>
      <c r="V186" s="467">
        <f t="shared" si="171"/>
        <v>80278.512</v>
      </c>
      <c r="W186" s="474">
        <v>12</v>
      </c>
      <c r="X186" s="467">
        <f t="shared" si="172"/>
        <v>6689.876</v>
      </c>
      <c r="Z186" s="467">
        <f t="shared" si="173"/>
        <v>6689.876</v>
      </c>
      <c r="AA186" s="479">
        <v>3511.79662266667</v>
      </c>
      <c r="AB186" s="479">
        <f t="shared" si="174"/>
        <v>3178.07937733333</v>
      </c>
    </row>
    <row r="187" ht="18" spans="2:28">
      <c r="B187" s="484" t="s">
        <v>409</v>
      </c>
      <c r="C187" s="488">
        <v>108502.5</v>
      </c>
      <c r="D187" s="485">
        <v>12</v>
      </c>
      <c r="E187" s="486">
        <f t="shared" si="159"/>
        <v>1302030</v>
      </c>
      <c r="F187" s="489"/>
      <c r="G187" s="487">
        <f>6920.2*12</f>
        <v>83042.4</v>
      </c>
      <c r="H187" s="489"/>
      <c r="I187" s="486">
        <f t="shared" si="160"/>
        <v>1218987.6</v>
      </c>
      <c r="J187" s="486">
        <v>200000</v>
      </c>
      <c r="K187" s="486">
        <v>0.2</v>
      </c>
      <c r="L187" s="486">
        <f t="shared" si="161"/>
        <v>243797.52</v>
      </c>
      <c r="M187" s="486">
        <f t="shared" si="162"/>
        <v>443797.52</v>
      </c>
      <c r="N187" s="486">
        <f t="shared" si="163"/>
        <v>526839.92</v>
      </c>
      <c r="O187" s="486">
        <f t="shared" si="164"/>
        <v>775190.08</v>
      </c>
      <c r="P187" s="486">
        <f t="shared" si="165"/>
        <v>21000</v>
      </c>
      <c r="Q187" s="486">
        <f t="shared" si="166"/>
        <v>33000</v>
      </c>
      <c r="R187" s="486">
        <f t="shared" si="167"/>
        <v>26278.512</v>
      </c>
      <c r="S187" s="486">
        <f t="shared" si="168"/>
        <v>0</v>
      </c>
      <c r="T187" s="486">
        <f t="shared" si="169"/>
        <v>0</v>
      </c>
      <c r="V187" s="486">
        <f t="shared" si="171"/>
        <v>80278.512</v>
      </c>
      <c r="W187" s="500">
        <v>12</v>
      </c>
      <c r="X187" s="486">
        <f t="shared" si="172"/>
        <v>6689.876</v>
      </c>
      <c r="Z187" s="486">
        <f t="shared" si="173"/>
        <v>6689.876</v>
      </c>
      <c r="AA187" s="479">
        <v>3511.79662266667</v>
      </c>
      <c r="AB187" s="479">
        <f t="shared" si="174"/>
        <v>3178.07937733333</v>
      </c>
    </row>
    <row r="188" ht="35.25" customHeight="1" spans="2:28">
      <c r="B188" s="8" t="s">
        <v>938</v>
      </c>
      <c r="C188" s="617">
        <f t="shared" ref="C188:G188" si="177">SUM(C6:C187)</f>
        <v>82704469.9344667</v>
      </c>
      <c r="D188" s="618"/>
      <c r="E188" s="469"/>
      <c r="F188" s="619">
        <f t="shared" si="177"/>
        <v>812366.485</v>
      </c>
      <c r="G188" s="619">
        <f t="shared" si="177"/>
        <v>56463655.8832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 t="shared" ref="V188:Z188" si="178">SUM(V6:V187)</f>
        <v>143266099.675997</v>
      </c>
      <c r="W188" s="619"/>
      <c r="X188" s="619">
        <f t="shared" si="178"/>
        <v>11938841.6396664</v>
      </c>
      <c r="Y188" s="619"/>
      <c r="Z188" s="619">
        <f t="shared" si="178"/>
        <v>11938841.6396664</v>
      </c>
      <c r="AA188" s="620"/>
      <c r="AB188" s="620"/>
    </row>
    <row r="189" ht="26.25" customHeight="1" spans="2:28">
      <c r="B189" s="30" t="s">
        <v>939</v>
      </c>
      <c r="C189" s="617"/>
      <c r="D189" s="618"/>
      <c r="E189" s="618"/>
      <c r="F189" s="621">
        <f>F188/12</f>
        <v>67697.2070833334</v>
      </c>
      <c r="G189" s="621">
        <f>G188/12</f>
        <v>4705304.65693333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11938841.6396664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9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63" t="s">
        <v>616</v>
      </c>
      <c r="AA4" s="463" t="s">
        <v>969</v>
      </c>
      <c r="AB4" s="463" t="s">
        <v>970</v>
      </c>
      <c r="AC4" s="782"/>
    </row>
    <row r="5" ht="28" spans="1:32">
      <c r="A5" s="757">
        <v>1</v>
      </c>
      <c r="B5" s="765" t="s">
        <v>920</v>
      </c>
      <c r="C5" s="473">
        <v>460248.916666667</v>
      </c>
      <c r="D5" s="466">
        <v>12</v>
      </c>
      <c r="E5" s="467">
        <f>C5*D5</f>
        <v>5522987</v>
      </c>
      <c r="F5" s="467">
        <f>6922.5*12</f>
        <v>83070</v>
      </c>
      <c r="G5" s="468">
        <v>374638.9632</v>
      </c>
      <c r="H5" s="467"/>
      <c r="I5" s="467">
        <f>E5-F5-G5-H5</f>
        <v>5065278.0368</v>
      </c>
      <c r="J5" s="467">
        <v>200000</v>
      </c>
      <c r="K5" s="467">
        <v>0.2</v>
      </c>
      <c r="L5" s="467">
        <f>I5*K5</f>
        <v>1013055.60736</v>
      </c>
      <c r="M5" s="467">
        <f>J5+L5</f>
        <v>1213055.60736</v>
      </c>
      <c r="N5" s="467">
        <f>F5+G5+H5+M5</f>
        <v>1670764.57056</v>
      </c>
      <c r="O5" s="467">
        <f>E5-N5</f>
        <v>3852222.42944</v>
      </c>
      <c r="P5" s="467">
        <f>IF(O5&lt;300000,0.07*O5,21000)</f>
        <v>21000</v>
      </c>
      <c r="Q5" s="467">
        <f>IF((O5-300000)&lt;0,0,IF((O5-300000)&lt;300000,0.11*(O5-300000),33000))</f>
        <v>33000</v>
      </c>
      <c r="R5" s="467">
        <f>IF((O5-600000)&lt;0,0,IF((O5-600000)&lt;500000,0.15*(O5-600000),75000))</f>
        <v>75000</v>
      </c>
      <c r="S5" s="467">
        <f>IF((O5-1100000)&lt;0,0,IF((O5-1100000)&lt;500000,0.19*(O5-1100000),95000))</f>
        <v>95000</v>
      </c>
      <c r="T5" s="467">
        <f>IF((O5-1600000)&lt;0,0,IF((O5-1600000)&lt;1600000,0.21*(O5-1600000),336000))</f>
        <v>336000</v>
      </c>
      <c r="U5" s="467">
        <f>24%*(O5-3200000)</f>
        <v>156533.383065601</v>
      </c>
      <c r="V5" s="467">
        <f>P5+Q5+R5+S5+T5+U5</f>
        <v>716533.383065601</v>
      </c>
      <c r="W5" s="474">
        <v>12</v>
      </c>
      <c r="X5" s="467">
        <f>V5/W5</f>
        <v>59711.1152554667</v>
      </c>
      <c r="Y5" s="467"/>
      <c r="Z5" s="467">
        <f>X5</f>
        <v>59711.1152554667</v>
      </c>
      <c r="AA5" s="467">
        <v>69311.1152554667</v>
      </c>
      <c r="AB5" s="467">
        <f>AA5-Z5</f>
        <v>9599.99999999999</v>
      </c>
      <c r="AC5" s="467"/>
      <c r="AD5" s="765" t="s">
        <v>920</v>
      </c>
      <c r="AE5" s="479"/>
      <c r="AF5" s="479"/>
    </row>
    <row r="6" ht="14" spans="1:32">
      <c r="A6" s="757">
        <v>2</v>
      </c>
      <c r="B6" s="757" t="s">
        <v>921</v>
      </c>
      <c r="C6" s="473">
        <v>460248.916666667</v>
      </c>
      <c r="D6" s="466">
        <v>12</v>
      </c>
      <c r="E6" s="467">
        <f>C6*D6</f>
        <v>5522987</v>
      </c>
      <c r="F6" s="467"/>
      <c r="G6" s="467">
        <v>374638.9632</v>
      </c>
      <c r="H6" s="467"/>
      <c r="I6" s="467">
        <f>E6-F6-G6-H6</f>
        <v>5148348.0368</v>
      </c>
      <c r="J6" s="467">
        <v>200000</v>
      </c>
      <c r="K6" s="467">
        <v>0.2</v>
      </c>
      <c r="L6" s="467">
        <f>I6*K6</f>
        <v>1029669.60736</v>
      </c>
      <c r="M6" s="467">
        <f>J6+L6</f>
        <v>1229669.60736</v>
      </c>
      <c r="N6" s="467">
        <f>F6+G6+H6+M6</f>
        <v>1604308.57056</v>
      </c>
      <c r="O6" s="467">
        <f>E6-N6</f>
        <v>3918678.42944</v>
      </c>
      <c r="P6" s="467">
        <f>IF(O6&lt;300000,0.07*O6,21000)</f>
        <v>21000</v>
      </c>
      <c r="Q6" s="467">
        <f>IF((O6-300000)&lt;0,0,IF((O6-300000)&lt;300000,0.11*(O6-300000),33000))</f>
        <v>33000</v>
      </c>
      <c r="R6" s="467">
        <f>IF((O6-600000)&lt;0,0,IF((O6-600000)&lt;500000,0.15*(O6-600000),75000))</f>
        <v>75000</v>
      </c>
      <c r="S6" s="467">
        <f>IF((O6-1100000)&lt;0,0,IF((O6-1100000)&lt;500000,0.19*(O6-1100000),95000))</f>
        <v>95000</v>
      </c>
      <c r="T6" s="467">
        <f>IF((O6-1600000)&lt;0,0,IF((O6-1600000)&lt;1600000,0.21*(O6-1600000),336000))</f>
        <v>336000</v>
      </c>
      <c r="U6" s="467">
        <f>24%*(O6-3200000)</f>
        <v>172482.823065601</v>
      </c>
      <c r="V6" s="467">
        <f>P6+Q6+R6+S6+T6+U6</f>
        <v>732482.823065601</v>
      </c>
      <c r="W6" s="474">
        <v>12</v>
      </c>
      <c r="X6" s="467">
        <f>V6/W6</f>
        <v>61040.2352554667</v>
      </c>
      <c r="Y6" s="467"/>
      <c r="Z6" s="467">
        <f>X6</f>
        <v>61040.2352554667</v>
      </c>
      <c r="AA6" s="467">
        <v>70640.2352554667</v>
      </c>
      <c r="AB6" s="467">
        <f>AA6-Z6</f>
        <v>9599.99999999998</v>
      </c>
      <c r="AC6" s="467"/>
      <c r="AD6" s="757" t="s">
        <v>921</v>
      </c>
      <c r="AE6" s="479"/>
      <c r="AF6" s="479"/>
    </row>
    <row r="7" ht="14" spans="1:32">
      <c r="A7" s="757">
        <v>3</v>
      </c>
      <c r="B7" s="757" t="s">
        <v>923</v>
      </c>
      <c r="C7" s="473">
        <v>460248.916666667</v>
      </c>
      <c r="D7" s="466">
        <v>12</v>
      </c>
      <c r="E7" s="467">
        <f>C7*D7</f>
        <v>5522987</v>
      </c>
      <c r="F7" s="467"/>
      <c r="G7" s="467">
        <v>374638.9632</v>
      </c>
      <c r="H7" s="467"/>
      <c r="I7" s="467">
        <f>E7-F7-G7-H7</f>
        <v>5148348.0368</v>
      </c>
      <c r="J7" s="467">
        <v>200000</v>
      </c>
      <c r="K7" s="467">
        <v>0.2</v>
      </c>
      <c r="L7" s="467">
        <f>I7*K7</f>
        <v>1029669.60736</v>
      </c>
      <c r="M7" s="467">
        <f>J7+L7</f>
        <v>1229669.60736</v>
      </c>
      <c r="N7" s="467">
        <f>F7+G7+H7+M7</f>
        <v>1604308.57056</v>
      </c>
      <c r="O7" s="467">
        <f>E7-N7</f>
        <v>3918678.42944</v>
      </c>
      <c r="P7" s="467">
        <f>IF(O7&lt;300000,0.07*O7,21000)</f>
        <v>21000</v>
      </c>
      <c r="Q7" s="467">
        <f>IF((O7-300000)&lt;0,0,IF((O7-300000)&lt;300000,0.11*(O7-300000),33000))</f>
        <v>33000</v>
      </c>
      <c r="R7" s="467">
        <f>IF((O7-600000)&lt;0,0,IF((O7-600000)&lt;500000,0.15*(O7-600000),75000))</f>
        <v>75000</v>
      </c>
      <c r="S7" s="467">
        <f>IF((O7-1100000)&lt;0,0,IF((O7-1100000)&lt;500000,0.19*(O7-1100000),95000))</f>
        <v>95000</v>
      </c>
      <c r="T7" s="467">
        <f>IF((O7-1600000)&lt;0,0,IF((O7-1600000)&lt;1600000,0.21*(O7-1600000),336000))</f>
        <v>336000</v>
      </c>
      <c r="U7" s="467">
        <f>24%*(O7-3200000)</f>
        <v>172482.823065601</v>
      </c>
      <c r="V7" s="467">
        <f>P7+Q7+R7+S7+T7+U7</f>
        <v>732482.823065601</v>
      </c>
      <c r="W7" s="474">
        <v>12</v>
      </c>
      <c r="X7" s="467">
        <f>V7/W7</f>
        <v>61040.2352554667</v>
      </c>
      <c r="Y7" s="467"/>
      <c r="Z7" s="467">
        <f>X7</f>
        <v>61040.2352554667</v>
      </c>
      <c r="AA7" s="467">
        <v>70640.2352554667</v>
      </c>
      <c r="AB7" s="467">
        <f>AA7-Z7</f>
        <v>9599.99999999998</v>
      </c>
      <c r="AC7" s="467"/>
      <c r="AD7" s="757" t="s">
        <v>923</v>
      </c>
      <c r="AE7" s="479"/>
      <c r="AF7" s="479"/>
    </row>
    <row r="8" ht="14" spans="1:32">
      <c r="A8" s="757">
        <v>4</v>
      </c>
      <c r="B8" s="757" t="s">
        <v>190</v>
      </c>
      <c r="C8" s="473">
        <v>110955</v>
      </c>
      <c r="D8" s="466">
        <v>12</v>
      </c>
      <c r="E8" s="467">
        <f t="shared" ref="E8" si="0">C8*D8</f>
        <v>1331460</v>
      </c>
      <c r="F8" s="467"/>
      <c r="G8" s="467"/>
      <c r="H8" s="467"/>
      <c r="I8" s="467">
        <f t="shared" ref="I8" si="1">E8-F8-G8-H8</f>
        <v>1331460</v>
      </c>
      <c r="J8" s="467">
        <v>200000</v>
      </c>
      <c r="K8" s="467">
        <v>0.2</v>
      </c>
      <c r="L8" s="467">
        <f t="shared" ref="L8" si="2">I8*K8</f>
        <v>266292</v>
      </c>
      <c r="M8" s="467">
        <f t="shared" ref="M8" si="3">J8+L8</f>
        <v>466292</v>
      </c>
      <c r="N8" s="467">
        <f t="shared" ref="N8" si="4">F8+G8+H8+M8</f>
        <v>466292</v>
      </c>
      <c r="O8" s="467">
        <f t="shared" ref="O8" si="5">E8-N8</f>
        <v>865168</v>
      </c>
      <c r="P8" s="467">
        <f t="shared" ref="P8" si="6">IF(O8&lt;300000,0.07*O8,21000)</f>
        <v>21000</v>
      </c>
      <c r="Q8" s="467">
        <f t="shared" ref="Q8" si="7">IF((O8-300000)&lt;0,0,IF((O8-300000)&lt;300000,0.11*(O8-300000),33000))</f>
        <v>33000</v>
      </c>
      <c r="R8" s="467">
        <f t="shared" ref="R8" si="8">IF((O8-600000)&lt;0,0,IF((O8-600000)&lt;500000,0.15*(O8-600000),75000))</f>
        <v>39775.2</v>
      </c>
      <c r="S8" s="467">
        <f t="shared" ref="S8" si="9">IF((O8-1100000)&lt;0,0,IF((O8-1100000)&lt;500000,0.19*(O8-1100000),95000))</f>
        <v>0</v>
      </c>
      <c r="T8" s="467">
        <f t="shared" ref="T8" si="10">IF((O8-1600000)&lt;0,0,IF((O8-1600000)&lt;1600000,0.21*(O8-1600000),336000))</f>
        <v>0</v>
      </c>
      <c r="U8" s="467"/>
      <c r="V8" s="467">
        <f t="shared" ref="V8" si="11">P8+Q8+R8+S8+T8+U8</f>
        <v>93775.2</v>
      </c>
      <c r="W8" s="474">
        <v>12</v>
      </c>
      <c r="X8" s="467">
        <f t="shared" ref="X8" si="12">V8/W8</f>
        <v>7814.6</v>
      </c>
      <c r="Y8" s="467"/>
      <c r="Z8" s="467">
        <f t="shared" ref="Z8" si="13">X8</f>
        <v>7814.6</v>
      </c>
      <c r="AA8" s="467">
        <v>69311.1152554667</v>
      </c>
      <c r="AB8" s="467">
        <f>AA8-Z8</f>
        <v>61496.5152554667</v>
      </c>
      <c r="AC8" s="467"/>
      <c r="AD8" s="757" t="s">
        <v>190</v>
      </c>
      <c r="AE8" s="479"/>
      <c r="AF8" s="479"/>
    </row>
    <row r="9" ht="35.25" customHeight="1" spans="2:29">
      <c r="B9" s="8" t="s">
        <v>938</v>
      </c>
      <c r="C9" s="617">
        <f>SUM(C5:C8)</f>
        <v>1491701.75</v>
      </c>
      <c r="D9" s="618"/>
      <c r="E9" s="469"/>
      <c r="F9" s="619">
        <f>SUM(F5:F8)</f>
        <v>83070</v>
      </c>
      <c r="G9" s="619">
        <f>SUM(G5:G8)</f>
        <v>1123916.8896</v>
      </c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19"/>
      <c r="W9" s="619"/>
      <c r="X9" s="619"/>
      <c r="Y9" s="619"/>
      <c r="Z9" s="619"/>
      <c r="AA9" s="619"/>
      <c r="AB9" s="619">
        <f>SUM(AB5:AB8)</f>
        <v>90296.5152554667</v>
      </c>
      <c r="AC9" s="783"/>
    </row>
    <row r="10" ht="26.25" customHeight="1" spans="2:26">
      <c r="B10" s="30" t="s">
        <v>939</v>
      </c>
      <c r="C10" s="617"/>
      <c r="D10" s="618"/>
      <c r="E10" s="618"/>
      <c r="F10" s="621">
        <f>F9/12</f>
        <v>6922.5</v>
      </c>
      <c r="G10" s="621">
        <f>G9/12</f>
        <v>93659.7408</v>
      </c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1"/>
      <c r="W10" s="618"/>
      <c r="X10" s="618"/>
      <c r="Y10" s="618"/>
      <c r="Z10" s="618"/>
    </row>
    <row r="11" ht="17.5" spans="2:6">
      <c r="B11" s="33"/>
      <c r="C11" s="479"/>
      <c r="F11" s="498"/>
    </row>
    <row r="12" ht="13" spans="6:26">
      <c r="F12" s="499"/>
      <c r="Z12" s="619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2">
      <c r="A2" s="76" t="s">
        <v>971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5"/>
      <c r="Q2" s="78"/>
      <c r="R2" s="78"/>
      <c r="S2" s="78"/>
      <c r="T2" s="78"/>
      <c r="U2" s="78"/>
      <c r="V2" s="78"/>
    </row>
    <row r="3" ht="9.75" customHeight="1" spans="5:1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2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6" t="s">
        <v>972</v>
      </c>
      <c r="K4" s="7" t="s">
        <v>489</v>
      </c>
      <c r="L4" s="306" t="s">
        <v>973</v>
      </c>
      <c r="M4" s="80" t="s">
        <v>974</v>
      </c>
      <c r="N4" s="80" t="s">
        <v>975</v>
      </c>
      <c r="O4" s="80" t="s">
        <v>524</v>
      </c>
      <c r="P4" s="80" t="s">
        <v>976</v>
      </c>
      <c r="Q4" s="80" t="s">
        <v>977</v>
      </c>
      <c r="R4" s="80"/>
      <c r="S4" s="319" t="s">
        <v>978</v>
      </c>
      <c r="T4" s="320" t="s">
        <v>979</v>
      </c>
      <c r="U4" s="80" t="s">
        <v>473</v>
      </c>
      <c r="V4" s="321" t="s">
        <v>758</v>
      </c>
    </row>
    <row r="5" ht="17.25" customHeight="1" spans="3:22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307" t="s">
        <v>20</v>
      </c>
      <c r="K5" s="8"/>
      <c r="L5" s="307" t="s">
        <v>20</v>
      </c>
      <c r="M5" s="82"/>
      <c r="N5" s="82" t="s">
        <v>20</v>
      </c>
      <c r="O5" s="82"/>
      <c r="P5" s="308" t="s">
        <v>20</v>
      </c>
      <c r="Q5" s="82"/>
      <c r="R5" s="82"/>
      <c r="S5" s="82"/>
      <c r="T5" s="230"/>
      <c r="U5" s="82"/>
      <c r="V5" s="230"/>
    </row>
    <row r="6" customHeight="1" spans="1:22">
      <c r="A6" s="9"/>
      <c r="B6" s="8"/>
      <c r="C6" s="8"/>
      <c r="D6" s="8"/>
      <c r="E6" s="82"/>
      <c r="F6" s="82"/>
      <c r="G6" s="82"/>
      <c r="H6" s="82"/>
      <c r="I6" s="82"/>
      <c r="J6" s="307"/>
      <c r="K6" s="8"/>
      <c r="L6" s="307"/>
      <c r="M6" s="82"/>
      <c r="N6" s="82"/>
      <c r="O6" s="82"/>
      <c r="P6" s="308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209</v>
      </c>
      <c r="C7" s="4" t="s">
        <v>852</v>
      </c>
      <c r="D7" s="15" t="s">
        <v>55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501</v>
      </c>
      <c r="L7" s="219">
        <f>442746.5+140000</f>
        <v>582746.5</v>
      </c>
      <c r="M7" s="85">
        <f>L7-J7</f>
        <v>20941.583333333</v>
      </c>
      <c r="N7" s="85"/>
      <c r="O7" s="85"/>
      <c r="P7" s="309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3">
      <c r="A8" s="10"/>
      <c r="B8" s="20" t="s">
        <v>120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10">
        <f t="shared" si="1"/>
        <v>561804.916666667</v>
      </c>
      <c r="K8" s="15"/>
      <c r="L8" s="310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3">
      <c r="A9" s="10"/>
      <c r="B9" s="14"/>
      <c r="C9" s="4"/>
      <c r="D9" s="10"/>
      <c r="E9" s="221"/>
      <c r="F9" s="221"/>
      <c r="G9" s="221"/>
      <c r="H9" s="221"/>
      <c r="I9" s="221"/>
      <c r="J9" s="310"/>
      <c r="K9" s="10"/>
      <c r="L9" s="310"/>
      <c r="M9" s="85"/>
      <c r="N9" s="221"/>
      <c r="O9" s="221"/>
      <c r="P9" s="311"/>
      <c r="Q9" s="221"/>
      <c r="R9" s="221"/>
      <c r="S9" s="85"/>
      <c r="T9" s="231"/>
      <c r="U9" s="221"/>
      <c r="V9" s="231"/>
      <c r="W9" s="13"/>
    </row>
    <row r="10" customHeight="1" spans="2:23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18"/>
      <c r="Q10" s="229"/>
      <c r="R10" s="229"/>
      <c r="S10" s="229"/>
      <c r="T10" s="229"/>
      <c r="U10" s="229"/>
      <c r="V10" s="229"/>
      <c r="W10" s="35"/>
    </row>
    <row r="11" ht="36.75" customHeight="1" spans="2:22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18"/>
      <c r="Q11" s="229"/>
      <c r="R11" s="229"/>
      <c r="S11" s="229"/>
      <c r="T11" s="229"/>
      <c r="U11" s="229"/>
      <c r="V11" s="229"/>
    </row>
    <row r="14" customHeight="1" spans="11:13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471</v>
      </c>
      <c r="B4" s="462" t="s">
        <v>472</v>
      </c>
      <c r="C4" s="463" t="s">
        <v>980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63" t="s">
        <v>981</v>
      </c>
    </row>
    <row r="5" ht="14" spans="1:27">
      <c r="A5" s="757">
        <v>1</v>
      </c>
      <c r="B5" s="758" t="s">
        <v>913</v>
      </c>
      <c r="C5" s="762">
        <v>150313.08</v>
      </c>
      <c r="D5" s="466">
        <v>12</v>
      </c>
      <c r="E5" s="467">
        <f t="shared" ref="E5:E24" si="0">C5*D5</f>
        <v>1803756.96</v>
      </c>
      <c r="F5" s="467"/>
      <c r="G5" s="467">
        <v>558833.3568</v>
      </c>
      <c r="H5" s="467"/>
      <c r="I5" s="467">
        <f t="shared" ref="I5:I24" si="1">E5-F5-G5-H5</f>
        <v>1244923.6032</v>
      </c>
      <c r="J5" s="467">
        <v>200000</v>
      </c>
      <c r="K5" s="467">
        <v>0.2</v>
      </c>
      <c r="L5" s="467">
        <f t="shared" ref="L5:L24" si="2">I5*K5</f>
        <v>248984.72064</v>
      </c>
      <c r="M5" s="467">
        <f t="shared" ref="M5:M24" si="3">J5+L5</f>
        <v>448984.72064</v>
      </c>
      <c r="N5" s="467">
        <f t="shared" ref="N5:N24" si="4">F5+G5+H5+M5</f>
        <v>1007818.07744</v>
      </c>
      <c r="O5" s="467">
        <f t="shared" ref="O5:O24" si="5">E5-N5</f>
        <v>795938.88256</v>
      </c>
      <c r="P5" s="467">
        <f t="shared" ref="P5:P24" si="6">IF(O5&lt;300000,0.07*O5,21000)</f>
        <v>21000</v>
      </c>
      <c r="Q5" s="467">
        <f t="shared" ref="Q5:Q24" si="7">IF((O5-300000)&lt;0,0,IF((O5-300000)&lt;300000,0.11*(O5-300000),33000))</f>
        <v>33000</v>
      </c>
      <c r="R5" s="467">
        <f t="shared" ref="R5:R24" si="8">IF((O5-600000)&lt;0,0,IF((O5-600000)&lt;500000,0.15*(O5-600000),75000))</f>
        <v>29390.832384</v>
      </c>
      <c r="S5" s="467">
        <f t="shared" ref="S5:S24" si="9">IF((O5-1100000)&lt;0,0,IF((O5-1100000)&lt;500000,0.19*(O5-1100000),95000))</f>
        <v>0</v>
      </c>
      <c r="T5" s="467">
        <f t="shared" ref="T5:T24" si="10">IF((O5-1600000)&lt;0,0,IF((O5-1600000)&lt;1600000,0.21*(O5-1600000),336000))</f>
        <v>0</v>
      </c>
      <c r="U5" s="467">
        <v>0</v>
      </c>
      <c r="V5" s="467">
        <f t="shared" ref="V5:V24" si="11">P5+Q5+R5+S5+T5+U5</f>
        <v>83390.832384</v>
      </c>
      <c r="W5" s="474">
        <v>12</v>
      </c>
      <c r="X5" s="467">
        <f t="shared" ref="X5:X24" si="12">V5/W5</f>
        <v>6949.236032</v>
      </c>
      <c r="Y5" s="467"/>
      <c r="Z5" s="467">
        <f t="shared" ref="Z5:Z24" si="13">X5</f>
        <v>6949.236032</v>
      </c>
      <c r="AA5" s="479"/>
    </row>
    <row r="6" ht="14" spans="1:27">
      <c r="A6" s="757">
        <v>2</v>
      </c>
      <c r="B6" s="757" t="s">
        <v>914</v>
      </c>
      <c r="C6" s="762">
        <v>526480</v>
      </c>
      <c r="D6" s="466">
        <v>12</v>
      </c>
      <c r="E6" s="467">
        <f t="shared" si="0"/>
        <v>6317760</v>
      </c>
      <c r="F6" s="467"/>
      <c r="G6" s="467">
        <v>558833.3568</v>
      </c>
      <c r="H6" s="467"/>
      <c r="I6" s="467">
        <f t="shared" si="1"/>
        <v>5758926.6432</v>
      </c>
      <c r="J6" s="467">
        <v>200000</v>
      </c>
      <c r="K6" s="467">
        <v>0.2</v>
      </c>
      <c r="L6" s="467">
        <f t="shared" si="2"/>
        <v>1151785.32864</v>
      </c>
      <c r="M6" s="467">
        <f t="shared" si="3"/>
        <v>1351785.32864</v>
      </c>
      <c r="N6" s="467">
        <f t="shared" si="4"/>
        <v>1910618.68544</v>
      </c>
      <c r="O6" s="467">
        <f t="shared" si="5"/>
        <v>4407141.31456</v>
      </c>
      <c r="P6" s="467">
        <f t="shared" si="6"/>
        <v>21000</v>
      </c>
      <c r="Q6" s="467">
        <f t="shared" si="7"/>
        <v>33000</v>
      </c>
      <c r="R6" s="467">
        <f t="shared" si="8"/>
        <v>75000</v>
      </c>
      <c r="S6" s="467">
        <f t="shared" si="9"/>
        <v>95000</v>
      </c>
      <c r="T6" s="467">
        <f t="shared" si="10"/>
        <v>336000</v>
      </c>
      <c r="U6" s="467">
        <f>24%*(O6-3200000)</f>
        <v>289713.9154944</v>
      </c>
      <c r="V6" s="467">
        <f t="shared" si="11"/>
        <v>849713.9154944</v>
      </c>
      <c r="W6" s="474">
        <v>12</v>
      </c>
      <c r="X6" s="467">
        <f t="shared" si="12"/>
        <v>70809.4929578667</v>
      </c>
      <c r="Y6" s="467"/>
      <c r="Z6" s="467">
        <f t="shared" si="13"/>
        <v>70809.4929578667</v>
      </c>
      <c r="AA6" s="479"/>
    </row>
    <row r="7" ht="14" spans="1:27">
      <c r="A7" s="757">
        <v>3</v>
      </c>
      <c r="B7" s="757" t="s">
        <v>915</v>
      </c>
      <c r="C7" s="762">
        <v>291986.9175</v>
      </c>
      <c r="D7" s="466">
        <v>12</v>
      </c>
      <c r="E7" s="467">
        <f t="shared" si="0"/>
        <v>3503843.01</v>
      </c>
      <c r="F7" s="467">
        <f>8019.8*12</f>
        <v>96237.6</v>
      </c>
      <c r="G7" s="467">
        <v>558833.3568</v>
      </c>
      <c r="H7" s="467"/>
      <c r="I7" s="467">
        <f t="shared" si="1"/>
        <v>2848772.0532</v>
      </c>
      <c r="J7" s="467">
        <v>200000</v>
      </c>
      <c r="K7" s="467">
        <v>0.2</v>
      </c>
      <c r="L7" s="467">
        <f t="shared" si="2"/>
        <v>569754.41064</v>
      </c>
      <c r="M7" s="467">
        <f t="shared" si="3"/>
        <v>769754.41064</v>
      </c>
      <c r="N7" s="467">
        <f t="shared" si="4"/>
        <v>1424825.36744</v>
      </c>
      <c r="O7" s="467">
        <f t="shared" si="5"/>
        <v>2079017.64256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100593.7049376</v>
      </c>
      <c r="U7" s="467"/>
      <c r="V7" s="467">
        <f t="shared" si="11"/>
        <v>324593.7049376</v>
      </c>
      <c r="W7" s="474">
        <v>12</v>
      </c>
      <c r="X7" s="467">
        <f t="shared" si="12"/>
        <v>27049.4754114667</v>
      </c>
      <c r="Y7" s="467"/>
      <c r="Z7" s="467">
        <f t="shared" si="13"/>
        <v>27049.4754114667</v>
      </c>
      <c r="AA7" s="479"/>
    </row>
    <row r="8" ht="14" spans="1:27">
      <c r="A8" s="757">
        <v>4</v>
      </c>
      <c r="B8" s="757" t="s">
        <v>916</v>
      </c>
      <c r="C8" s="762">
        <v>291984.2075</v>
      </c>
      <c r="D8" s="466">
        <v>12</v>
      </c>
      <c r="E8" s="467">
        <f t="shared" si="0"/>
        <v>3503810.49</v>
      </c>
      <c r="F8" s="467">
        <f>8019.8*12</f>
        <v>96237.6</v>
      </c>
      <c r="G8" s="467">
        <v>558833.3568</v>
      </c>
      <c r="H8" s="467"/>
      <c r="I8" s="467">
        <f t="shared" si="1"/>
        <v>2848739.5332</v>
      </c>
      <c r="J8" s="467">
        <v>200000</v>
      </c>
      <c r="K8" s="467">
        <v>0.2</v>
      </c>
      <c r="L8" s="467">
        <f t="shared" si="2"/>
        <v>569747.90664</v>
      </c>
      <c r="M8" s="467">
        <f t="shared" si="3"/>
        <v>769747.90664</v>
      </c>
      <c r="N8" s="467">
        <f t="shared" si="4"/>
        <v>1424818.86344</v>
      </c>
      <c r="O8" s="467">
        <f t="shared" si="5"/>
        <v>2078991.62656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100588.2415776</v>
      </c>
      <c r="U8" s="467"/>
      <c r="V8" s="467">
        <f t="shared" si="11"/>
        <v>324588.2415776</v>
      </c>
      <c r="W8" s="474">
        <v>12</v>
      </c>
      <c r="X8" s="467">
        <f t="shared" si="12"/>
        <v>27049.0201314667</v>
      </c>
      <c r="Y8" s="467"/>
      <c r="Z8" s="467">
        <f t="shared" si="13"/>
        <v>27049.0201314667</v>
      </c>
      <c r="AA8" s="479"/>
    </row>
    <row r="9" ht="14" spans="1:27">
      <c r="A9" s="757">
        <v>5</v>
      </c>
      <c r="B9" s="757" t="s">
        <v>917</v>
      </c>
      <c r="C9" s="762">
        <v>0</v>
      </c>
      <c r="D9" s="466">
        <v>0</v>
      </c>
      <c r="E9" s="467">
        <f t="shared" si="0"/>
        <v>0</v>
      </c>
      <c r="F9" s="467"/>
      <c r="G9" s="467">
        <v>0</v>
      </c>
      <c r="H9" s="467"/>
      <c r="I9" s="467">
        <f t="shared" si="1"/>
        <v>0</v>
      </c>
      <c r="J9" s="467">
        <v>0</v>
      </c>
      <c r="K9" s="467">
        <v>0.2</v>
      </c>
      <c r="L9" s="467">
        <f t="shared" si="2"/>
        <v>0</v>
      </c>
      <c r="M9" s="467">
        <f t="shared" si="3"/>
        <v>0</v>
      </c>
      <c r="N9" s="467">
        <f t="shared" si="4"/>
        <v>0</v>
      </c>
      <c r="O9" s="467">
        <f t="shared" si="5"/>
        <v>0</v>
      </c>
      <c r="P9" s="467">
        <f t="shared" si="6"/>
        <v>0</v>
      </c>
      <c r="Q9" s="467">
        <f t="shared" si="7"/>
        <v>0</v>
      </c>
      <c r="R9" s="467">
        <f t="shared" si="8"/>
        <v>0</v>
      </c>
      <c r="S9" s="467">
        <f t="shared" si="9"/>
        <v>0</v>
      </c>
      <c r="T9" s="467">
        <f t="shared" si="10"/>
        <v>0</v>
      </c>
      <c r="U9" s="467"/>
      <c r="V9" s="467">
        <f t="shared" si="11"/>
        <v>0</v>
      </c>
      <c r="W9" s="474">
        <v>12</v>
      </c>
      <c r="X9" s="467">
        <f t="shared" si="12"/>
        <v>0</v>
      </c>
      <c r="Y9" s="467"/>
      <c r="Z9" s="467">
        <f t="shared" si="13"/>
        <v>0</v>
      </c>
      <c r="AA9" s="479"/>
    </row>
    <row r="10" ht="14" spans="1:27">
      <c r="A10" s="757">
        <v>6</v>
      </c>
      <c r="B10" s="757" t="s">
        <v>339</v>
      </c>
      <c r="C10" s="762">
        <v>1486792</v>
      </c>
      <c r="D10" s="466">
        <v>12</v>
      </c>
      <c r="E10" s="467">
        <f t="shared" si="0"/>
        <v>17841504</v>
      </c>
      <c r="F10" s="467"/>
      <c r="G10" s="467">
        <v>245615.04</v>
      </c>
      <c r="H10" s="467"/>
      <c r="I10" s="467">
        <f t="shared" si="1"/>
        <v>17595888.96</v>
      </c>
      <c r="J10" s="467">
        <v>200000</v>
      </c>
      <c r="K10" s="467">
        <v>0.2</v>
      </c>
      <c r="L10" s="467">
        <f t="shared" si="2"/>
        <v>3519177.792</v>
      </c>
      <c r="M10" s="467">
        <f t="shared" si="3"/>
        <v>3719177.792</v>
      </c>
      <c r="N10" s="467">
        <f t="shared" si="4"/>
        <v>3964792.832</v>
      </c>
      <c r="O10" s="467">
        <f t="shared" si="5"/>
        <v>13876711.168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>24%*(O10-3200000)</f>
        <v>2562410.68032</v>
      </c>
      <c r="V10" s="467">
        <f t="shared" si="11"/>
        <v>3122410.68032</v>
      </c>
      <c r="W10" s="474">
        <v>12</v>
      </c>
      <c r="X10" s="467">
        <f t="shared" si="12"/>
        <v>260200.890026667</v>
      </c>
      <c r="Y10" s="467"/>
      <c r="Z10" s="467">
        <f t="shared" si="13"/>
        <v>260200.890026667</v>
      </c>
      <c r="AA10" s="479"/>
    </row>
    <row r="11" ht="14" spans="1:27">
      <c r="A11" s="757">
        <v>7</v>
      </c>
      <c r="B11" s="757" t="s">
        <v>918</v>
      </c>
      <c r="C11" s="762">
        <v>120895.81</v>
      </c>
      <c r="D11" s="466">
        <v>12</v>
      </c>
      <c r="E11" s="467">
        <f t="shared" si="0"/>
        <v>1450749.72</v>
      </c>
      <c r="F11" s="467"/>
      <c r="G11" s="467">
        <v>339372</v>
      </c>
      <c r="H11" s="467"/>
      <c r="I11" s="467">
        <f t="shared" si="1"/>
        <v>1111377.72</v>
      </c>
      <c r="J11" s="467">
        <v>200000</v>
      </c>
      <c r="K11" s="467">
        <v>0.2</v>
      </c>
      <c r="L11" s="467">
        <f t="shared" si="2"/>
        <v>222275.544</v>
      </c>
      <c r="M11" s="467">
        <f t="shared" si="3"/>
        <v>422275.544</v>
      </c>
      <c r="N11" s="467">
        <f t="shared" si="4"/>
        <v>761647.544</v>
      </c>
      <c r="O11" s="467">
        <f t="shared" si="5"/>
        <v>689102.176</v>
      </c>
      <c r="P11" s="467">
        <f t="shared" si="6"/>
        <v>21000</v>
      </c>
      <c r="Q11" s="467">
        <f t="shared" si="7"/>
        <v>33000</v>
      </c>
      <c r="R11" s="467">
        <f t="shared" si="8"/>
        <v>13365.3264</v>
      </c>
      <c r="S11" s="467">
        <f t="shared" si="9"/>
        <v>0</v>
      </c>
      <c r="T11" s="467">
        <f t="shared" si="10"/>
        <v>0</v>
      </c>
      <c r="U11" s="467"/>
      <c r="V11" s="467">
        <f t="shared" si="11"/>
        <v>67365.3264</v>
      </c>
      <c r="W11" s="474">
        <v>12</v>
      </c>
      <c r="X11" s="467">
        <f t="shared" si="12"/>
        <v>5613.7772</v>
      </c>
      <c r="Y11" s="467"/>
      <c r="Z11" s="467">
        <f t="shared" si="13"/>
        <v>5613.7772</v>
      </c>
      <c r="AA11" s="479"/>
    </row>
    <row r="12" ht="14" spans="1:27">
      <c r="A12" s="757">
        <v>8</v>
      </c>
      <c r="B12" s="757" t="s">
        <v>919</v>
      </c>
      <c r="C12" s="762">
        <v>99389.4758333325</v>
      </c>
      <c r="D12" s="466">
        <v>12</v>
      </c>
      <c r="E12" s="467">
        <f t="shared" si="0"/>
        <v>1192673.70999999</v>
      </c>
      <c r="F12" s="467"/>
      <c r="G12" s="467">
        <v>339372</v>
      </c>
      <c r="H12" s="467"/>
      <c r="I12" s="467">
        <f t="shared" si="1"/>
        <v>853301.70999999</v>
      </c>
      <c r="J12" s="467">
        <v>200000</v>
      </c>
      <c r="K12" s="467">
        <v>0.2</v>
      </c>
      <c r="L12" s="467">
        <f t="shared" si="2"/>
        <v>170660.341999998</v>
      </c>
      <c r="M12" s="467">
        <f t="shared" si="3"/>
        <v>370660.341999998</v>
      </c>
      <c r="N12" s="467">
        <f t="shared" si="4"/>
        <v>710032.341999998</v>
      </c>
      <c r="O12" s="467">
        <f t="shared" si="5"/>
        <v>482641.367999992</v>
      </c>
      <c r="P12" s="467">
        <f t="shared" si="6"/>
        <v>21000</v>
      </c>
      <c r="Q12" s="467">
        <f t="shared" si="7"/>
        <v>20090.5504799991</v>
      </c>
      <c r="R12" s="467">
        <f t="shared" si="8"/>
        <v>0</v>
      </c>
      <c r="S12" s="467">
        <f t="shared" si="9"/>
        <v>0</v>
      </c>
      <c r="T12" s="467">
        <f t="shared" si="10"/>
        <v>0</v>
      </c>
      <c r="U12" s="467"/>
      <c r="V12" s="467">
        <f t="shared" si="11"/>
        <v>41090.5504799991</v>
      </c>
      <c r="W12" s="474">
        <v>12</v>
      </c>
      <c r="X12" s="467">
        <f t="shared" si="12"/>
        <v>3424.21253999993</v>
      </c>
      <c r="Y12" s="467"/>
      <c r="Z12" s="467">
        <f t="shared" si="13"/>
        <v>3424.21253999993</v>
      </c>
      <c r="AA12" s="479"/>
    </row>
    <row r="13" ht="14" spans="1:27">
      <c r="A13" s="757">
        <v>9</v>
      </c>
      <c r="B13" s="765" t="s">
        <v>920</v>
      </c>
      <c r="C13" s="762">
        <v>481299.333333336</v>
      </c>
      <c r="D13" s="466">
        <v>12</v>
      </c>
      <c r="E13" s="467">
        <f t="shared" si="0"/>
        <v>5775592.00000003</v>
      </c>
      <c r="F13" s="467">
        <f>6922.5*12</f>
        <v>83070</v>
      </c>
      <c r="G13" s="468">
        <v>374638.9632</v>
      </c>
      <c r="H13" s="467"/>
      <c r="I13" s="467">
        <f t="shared" si="1"/>
        <v>5317883.03680003</v>
      </c>
      <c r="J13" s="467">
        <v>200000</v>
      </c>
      <c r="K13" s="467">
        <v>0.2</v>
      </c>
      <c r="L13" s="467">
        <f t="shared" si="2"/>
        <v>1063576.60736001</v>
      </c>
      <c r="M13" s="467">
        <f t="shared" si="3"/>
        <v>1263576.60736001</v>
      </c>
      <c r="N13" s="467">
        <f t="shared" si="4"/>
        <v>1721285.57056001</v>
      </c>
      <c r="O13" s="467">
        <f t="shared" si="5"/>
        <v>4054306.42944003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>24%*(O13-3200000)</f>
        <v>205033.543065606</v>
      </c>
      <c r="V13" s="467">
        <f t="shared" si="11"/>
        <v>765033.543065606</v>
      </c>
      <c r="W13" s="474">
        <v>12</v>
      </c>
      <c r="X13" s="467">
        <f t="shared" si="12"/>
        <v>63752.7952554672</v>
      </c>
      <c r="Y13" s="467"/>
      <c r="Z13" s="467">
        <f t="shared" si="13"/>
        <v>63752.7952554672</v>
      </c>
      <c r="AA13" s="479"/>
    </row>
    <row r="14" ht="14" spans="1:27">
      <c r="A14" s="757">
        <v>10</v>
      </c>
      <c r="B14" s="757" t="s">
        <v>921</v>
      </c>
      <c r="C14" s="762">
        <v>163040.149166668</v>
      </c>
      <c r="D14" s="466">
        <v>12</v>
      </c>
      <c r="E14" s="467">
        <f t="shared" si="0"/>
        <v>1956481.79000002</v>
      </c>
      <c r="F14" s="467"/>
      <c r="G14" s="467">
        <v>374638.9632</v>
      </c>
      <c r="H14" s="467"/>
      <c r="I14" s="467">
        <f t="shared" si="1"/>
        <v>1581842.82680002</v>
      </c>
      <c r="J14" s="467">
        <v>200000</v>
      </c>
      <c r="K14" s="467">
        <v>0.2</v>
      </c>
      <c r="L14" s="467">
        <f t="shared" si="2"/>
        <v>316368.565360003</v>
      </c>
      <c r="M14" s="467">
        <f t="shared" si="3"/>
        <v>516368.565360003</v>
      </c>
      <c r="N14" s="467">
        <f t="shared" si="4"/>
        <v>891007.528560003</v>
      </c>
      <c r="O14" s="467">
        <f t="shared" si="5"/>
        <v>1065474.26144001</v>
      </c>
      <c r="P14" s="467">
        <f t="shared" si="6"/>
        <v>21000</v>
      </c>
      <c r="Q14" s="467">
        <f t="shared" si="7"/>
        <v>33000</v>
      </c>
      <c r="R14" s="467">
        <f t="shared" si="8"/>
        <v>69821.1392160019</v>
      </c>
      <c r="S14" s="467">
        <f t="shared" si="9"/>
        <v>0</v>
      </c>
      <c r="T14" s="467">
        <f t="shared" si="10"/>
        <v>0</v>
      </c>
      <c r="U14" s="467"/>
      <c r="V14" s="467">
        <f t="shared" si="11"/>
        <v>123821.139216002</v>
      </c>
      <c r="W14" s="474">
        <v>12</v>
      </c>
      <c r="X14" s="467">
        <f t="shared" si="12"/>
        <v>10318.4282680002</v>
      </c>
      <c r="Y14" s="467"/>
      <c r="Z14" s="467">
        <f t="shared" si="13"/>
        <v>10318.4282680002</v>
      </c>
      <c r="AA14" s="479"/>
    </row>
    <row r="15" ht="14" spans="1:27">
      <c r="A15" s="757">
        <v>11</v>
      </c>
      <c r="B15" s="757" t="s">
        <v>922</v>
      </c>
      <c r="C15" s="762">
        <v>394860</v>
      </c>
      <c r="D15" s="466">
        <v>12</v>
      </c>
      <c r="E15" s="467">
        <f t="shared" si="0"/>
        <v>4738320</v>
      </c>
      <c r="F15" s="467"/>
      <c r="G15" s="467">
        <v>558833.3568</v>
      </c>
      <c r="H15" s="467"/>
      <c r="I15" s="467">
        <f t="shared" si="1"/>
        <v>4179486.6432</v>
      </c>
      <c r="J15" s="467">
        <v>200000</v>
      </c>
      <c r="K15" s="467">
        <v>0.2</v>
      </c>
      <c r="L15" s="467">
        <f t="shared" si="2"/>
        <v>835897.32864</v>
      </c>
      <c r="M15" s="467">
        <f t="shared" si="3"/>
        <v>1035897.32864</v>
      </c>
      <c r="N15" s="467">
        <f t="shared" si="4"/>
        <v>1594730.68544</v>
      </c>
      <c r="O15" s="467">
        <f t="shared" si="5"/>
        <v>3143589.31456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324153.7560576</v>
      </c>
      <c r="U15" s="467"/>
      <c r="V15" s="467">
        <f t="shared" si="11"/>
        <v>548153.7560576</v>
      </c>
      <c r="W15" s="474">
        <v>12</v>
      </c>
      <c r="X15" s="467">
        <f t="shared" si="12"/>
        <v>45679.4796714667</v>
      </c>
      <c r="Y15" s="467"/>
      <c r="Z15" s="467">
        <f t="shared" si="13"/>
        <v>45679.4796714667</v>
      </c>
      <c r="AA15" s="479"/>
    </row>
    <row r="16" ht="14" spans="1:27">
      <c r="A16" s="757">
        <v>12</v>
      </c>
      <c r="B16" s="757" t="s">
        <v>308</v>
      </c>
      <c r="C16" s="762">
        <v>323232.75</v>
      </c>
      <c r="D16" s="466">
        <v>12</v>
      </c>
      <c r="E16" s="467">
        <f t="shared" si="0"/>
        <v>3878793</v>
      </c>
      <c r="F16" s="467">
        <f>8019.8*12</f>
        <v>96237.6</v>
      </c>
      <c r="G16" s="467">
        <v>558833.3568</v>
      </c>
      <c r="H16" s="467"/>
      <c r="I16" s="467">
        <f t="shared" si="1"/>
        <v>3223722.0432</v>
      </c>
      <c r="J16" s="467">
        <v>200000</v>
      </c>
      <c r="K16" s="467">
        <v>0.2</v>
      </c>
      <c r="L16" s="467">
        <f t="shared" si="2"/>
        <v>644744.40864</v>
      </c>
      <c r="M16" s="467">
        <f t="shared" si="3"/>
        <v>844744.40864</v>
      </c>
      <c r="N16" s="467">
        <f t="shared" si="4"/>
        <v>1499815.36544</v>
      </c>
      <c r="O16" s="467">
        <f t="shared" si="5"/>
        <v>2378977.63456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163585.3032576</v>
      </c>
      <c r="U16" s="467"/>
      <c r="V16" s="467">
        <f t="shared" si="11"/>
        <v>387585.3032576</v>
      </c>
      <c r="W16" s="474">
        <v>12</v>
      </c>
      <c r="X16" s="467">
        <f t="shared" si="12"/>
        <v>32298.7752714667</v>
      </c>
      <c r="Y16" s="467"/>
      <c r="Z16" s="467">
        <f t="shared" si="13"/>
        <v>32298.7752714667</v>
      </c>
      <c r="AA16" s="479"/>
    </row>
    <row r="17" ht="14" spans="1:27">
      <c r="A17" s="757">
        <v>13</v>
      </c>
      <c r="B17" s="757" t="s">
        <v>923</v>
      </c>
      <c r="C17" s="762">
        <v>180487.250000001</v>
      </c>
      <c r="D17" s="466">
        <v>12</v>
      </c>
      <c r="E17" s="467">
        <f t="shared" si="0"/>
        <v>2165847.00000001</v>
      </c>
      <c r="F17" s="467"/>
      <c r="G17" s="467">
        <v>374638.9632</v>
      </c>
      <c r="H17" s="467"/>
      <c r="I17" s="467">
        <f t="shared" si="1"/>
        <v>1791208.03680001</v>
      </c>
      <c r="J17" s="467">
        <v>200000</v>
      </c>
      <c r="K17" s="467">
        <v>0.2</v>
      </c>
      <c r="L17" s="467">
        <f t="shared" si="2"/>
        <v>358241.607360002</v>
      </c>
      <c r="M17" s="467">
        <f t="shared" si="3"/>
        <v>558241.607360002</v>
      </c>
      <c r="N17" s="467">
        <f t="shared" si="4"/>
        <v>932880.570560002</v>
      </c>
      <c r="O17" s="467">
        <f t="shared" si="5"/>
        <v>1232966.42944001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25263.6215936019</v>
      </c>
      <c r="T17" s="467">
        <f t="shared" si="10"/>
        <v>0</v>
      </c>
      <c r="U17" s="467"/>
      <c r="V17" s="467">
        <f t="shared" si="11"/>
        <v>154263.621593602</v>
      </c>
      <c r="W17" s="474">
        <v>12</v>
      </c>
      <c r="X17" s="467">
        <f t="shared" si="12"/>
        <v>12855.3017994668</v>
      </c>
      <c r="Y17" s="467"/>
      <c r="Z17" s="467">
        <f t="shared" si="13"/>
        <v>12855.3017994668</v>
      </c>
      <c r="AA17" s="479"/>
    </row>
    <row r="18" ht="14" spans="1:27">
      <c r="A18" s="757">
        <v>14</v>
      </c>
      <c r="B18" s="757" t="s">
        <v>924</v>
      </c>
      <c r="C18" s="762">
        <v>676611.66666666</v>
      </c>
      <c r="D18" s="466">
        <v>12</v>
      </c>
      <c r="E18" s="467">
        <f t="shared" si="0"/>
        <v>8119339.99999992</v>
      </c>
      <c r="F18" s="467"/>
      <c r="G18" s="467">
        <v>425036.64</v>
      </c>
      <c r="H18" s="467"/>
      <c r="I18" s="467">
        <f t="shared" si="1"/>
        <v>7694303.35999992</v>
      </c>
      <c r="J18" s="467">
        <v>200000</v>
      </c>
      <c r="K18" s="467">
        <v>0.2</v>
      </c>
      <c r="L18" s="467">
        <f t="shared" si="2"/>
        <v>1538860.67199998</v>
      </c>
      <c r="M18" s="467">
        <f t="shared" si="3"/>
        <v>1738860.67199998</v>
      </c>
      <c r="N18" s="467">
        <f t="shared" si="4"/>
        <v>2163897.31199998</v>
      </c>
      <c r="O18" s="467">
        <f t="shared" si="5"/>
        <v>5955442.68799994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>24%*(O18-3200000)</f>
        <v>661306.245119985</v>
      </c>
      <c r="V18" s="467">
        <f t="shared" si="11"/>
        <v>1221306.24511998</v>
      </c>
      <c r="W18" s="474">
        <v>12</v>
      </c>
      <c r="X18" s="467">
        <f t="shared" si="12"/>
        <v>101775.520426665</v>
      </c>
      <c r="Y18" s="467"/>
      <c r="Z18" s="467">
        <f t="shared" si="13"/>
        <v>101775.520426665</v>
      </c>
      <c r="AA18" s="479"/>
    </row>
    <row r="19" ht="14" spans="1:27">
      <c r="A19" s="757">
        <v>15</v>
      </c>
      <c r="B19" s="757" t="s">
        <v>846</v>
      </c>
      <c r="C19" s="762">
        <v>575119.916666661</v>
      </c>
      <c r="D19" s="466">
        <v>12</v>
      </c>
      <c r="E19" s="467">
        <f t="shared" si="0"/>
        <v>6901438.99999993</v>
      </c>
      <c r="F19" s="467"/>
      <c r="G19" s="467">
        <v>425036.64</v>
      </c>
      <c r="H19" s="467"/>
      <c r="I19" s="467">
        <f t="shared" si="1"/>
        <v>6476402.35999993</v>
      </c>
      <c r="J19" s="467">
        <v>200000</v>
      </c>
      <c r="K19" s="467">
        <v>0.2</v>
      </c>
      <c r="L19" s="467">
        <f t="shared" si="2"/>
        <v>1295280.47199999</v>
      </c>
      <c r="M19" s="467">
        <f t="shared" si="3"/>
        <v>1495280.47199999</v>
      </c>
      <c r="N19" s="467">
        <f t="shared" si="4"/>
        <v>1920317.11199999</v>
      </c>
      <c r="O19" s="467">
        <f t="shared" si="5"/>
        <v>4981121.88799995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>24%*(O19-3200000)</f>
        <v>427469.253119987</v>
      </c>
      <c r="V19" s="467">
        <f t="shared" si="11"/>
        <v>987469.253119987</v>
      </c>
      <c r="W19" s="474">
        <v>12</v>
      </c>
      <c r="X19" s="467">
        <f t="shared" si="12"/>
        <v>82289.1044266656</v>
      </c>
      <c r="Y19" s="467"/>
      <c r="Z19" s="467">
        <f t="shared" si="13"/>
        <v>82289.1044266656</v>
      </c>
      <c r="AA19" s="479"/>
    </row>
    <row r="20" ht="14" spans="1:27">
      <c r="A20" s="757">
        <v>16</v>
      </c>
      <c r="B20" s="757" t="s">
        <v>925</v>
      </c>
      <c r="C20" s="762">
        <v>401499</v>
      </c>
      <c r="D20" s="466">
        <v>12</v>
      </c>
      <c r="E20" s="467">
        <f t="shared" si="0"/>
        <v>4817988</v>
      </c>
      <c r="F20" s="467"/>
      <c r="G20" s="467">
        <v>339372</v>
      </c>
      <c r="H20" s="467"/>
      <c r="I20" s="467">
        <f t="shared" si="1"/>
        <v>4478616</v>
      </c>
      <c r="J20" s="467">
        <v>200000</v>
      </c>
      <c r="K20" s="467">
        <v>0.2</v>
      </c>
      <c r="L20" s="467">
        <f t="shared" si="2"/>
        <v>895723.2</v>
      </c>
      <c r="M20" s="467">
        <f t="shared" si="3"/>
        <v>1095723.2</v>
      </c>
      <c r="N20" s="467">
        <f t="shared" si="4"/>
        <v>1435095.2</v>
      </c>
      <c r="O20" s="467">
        <f t="shared" si="5"/>
        <v>3382892.8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>24%*(O20-3200000)</f>
        <v>43894.272</v>
      </c>
      <c r="V20" s="467">
        <f t="shared" si="11"/>
        <v>603894.272</v>
      </c>
      <c r="W20" s="474">
        <v>12</v>
      </c>
      <c r="X20" s="467">
        <f t="shared" si="12"/>
        <v>50324.5226666667</v>
      </c>
      <c r="Y20" s="467"/>
      <c r="Z20" s="467">
        <f t="shared" si="13"/>
        <v>50324.5226666667</v>
      </c>
      <c r="AA20" s="479"/>
    </row>
    <row r="21" ht="14" spans="1:27">
      <c r="A21" s="757">
        <v>17</v>
      </c>
      <c r="B21" s="757" t="s">
        <v>927</v>
      </c>
      <c r="C21" s="762">
        <v>655332</v>
      </c>
      <c r="D21" s="466">
        <v>12</v>
      </c>
      <c r="E21" s="467">
        <f t="shared" si="0"/>
        <v>7863984</v>
      </c>
      <c r="F21" s="467"/>
      <c r="G21" s="467">
        <v>339372</v>
      </c>
      <c r="H21" s="467"/>
      <c r="I21" s="467">
        <f t="shared" si="1"/>
        <v>7524612</v>
      </c>
      <c r="J21" s="467">
        <v>200000</v>
      </c>
      <c r="K21" s="467">
        <v>0.2</v>
      </c>
      <c r="L21" s="467">
        <f t="shared" si="2"/>
        <v>1504922.4</v>
      </c>
      <c r="M21" s="467">
        <f t="shared" si="3"/>
        <v>1704922.4</v>
      </c>
      <c r="N21" s="467">
        <f t="shared" si="4"/>
        <v>2044294.4</v>
      </c>
      <c r="O21" s="467">
        <f t="shared" si="5"/>
        <v>5819689.6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>24%*(O21-3200000)</f>
        <v>628725.504</v>
      </c>
      <c r="V21" s="467">
        <f t="shared" si="11"/>
        <v>1188725.504</v>
      </c>
      <c r="W21" s="474">
        <v>12</v>
      </c>
      <c r="X21" s="467">
        <f t="shared" si="12"/>
        <v>99060.4586666666</v>
      </c>
      <c r="Y21" s="467"/>
      <c r="Z21" s="467">
        <f t="shared" si="13"/>
        <v>99060.4586666666</v>
      </c>
      <c r="AA21" s="479"/>
    </row>
    <row r="22" ht="14" spans="1:27">
      <c r="A22" s="757">
        <v>18</v>
      </c>
      <c r="B22" s="757" t="s">
        <v>982</v>
      </c>
      <c r="C22" s="762">
        <v>176519</v>
      </c>
      <c r="D22" s="466">
        <v>12</v>
      </c>
      <c r="E22" s="467">
        <f t="shared" si="0"/>
        <v>2118228</v>
      </c>
      <c r="F22" s="467"/>
      <c r="G22" s="467">
        <v>245615.04</v>
      </c>
      <c r="H22" s="467"/>
      <c r="I22" s="467">
        <f t="shared" si="1"/>
        <v>1872612.96</v>
      </c>
      <c r="J22" s="467">
        <v>200000</v>
      </c>
      <c r="K22" s="467">
        <v>0.2</v>
      </c>
      <c r="L22" s="467">
        <f t="shared" si="2"/>
        <v>374522.592</v>
      </c>
      <c r="M22" s="467">
        <f t="shared" si="3"/>
        <v>574522.592</v>
      </c>
      <c r="N22" s="467">
        <f t="shared" si="4"/>
        <v>820137.632</v>
      </c>
      <c r="O22" s="467">
        <f t="shared" si="5"/>
        <v>1298090.368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37637.16992</v>
      </c>
      <c r="T22" s="467">
        <f t="shared" si="10"/>
        <v>0</v>
      </c>
      <c r="U22" s="467"/>
      <c r="V22" s="467">
        <f t="shared" si="11"/>
        <v>166637.16992</v>
      </c>
      <c r="W22" s="474">
        <v>12</v>
      </c>
      <c r="X22" s="467">
        <f t="shared" si="12"/>
        <v>13886.4308266667</v>
      </c>
      <c r="Y22" s="467"/>
      <c r="Z22" s="467">
        <f t="shared" si="13"/>
        <v>13886.4308266667</v>
      </c>
      <c r="AA22" s="479"/>
    </row>
    <row r="23" ht="14" spans="1:27">
      <c r="A23" s="757">
        <v>19</v>
      </c>
      <c r="B23" s="757" t="s">
        <v>928</v>
      </c>
      <c r="C23" s="762">
        <v>86887.25</v>
      </c>
      <c r="D23" s="466">
        <v>12</v>
      </c>
      <c r="E23" s="467">
        <f t="shared" si="0"/>
        <v>1042647</v>
      </c>
      <c r="F23" s="467"/>
      <c r="G23" s="467">
        <v>146701.6032</v>
      </c>
      <c r="H23" s="467"/>
      <c r="I23" s="467">
        <f t="shared" si="1"/>
        <v>895945.3968</v>
      </c>
      <c r="J23" s="467">
        <v>200000</v>
      </c>
      <c r="K23" s="467">
        <v>0.2</v>
      </c>
      <c r="L23" s="467">
        <f t="shared" si="2"/>
        <v>179189.07936</v>
      </c>
      <c r="M23" s="467">
        <f t="shared" si="3"/>
        <v>379189.07936</v>
      </c>
      <c r="N23" s="467">
        <f t="shared" si="4"/>
        <v>525890.68256</v>
      </c>
      <c r="O23" s="467">
        <f t="shared" si="5"/>
        <v>516756.31744</v>
      </c>
      <c r="P23" s="467">
        <f t="shared" si="6"/>
        <v>21000</v>
      </c>
      <c r="Q23" s="467">
        <f t="shared" si="7"/>
        <v>23843.1949184</v>
      </c>
      <c r="R23" s="467">
        <f t="shared" si="8"/>
        <v>0</v>
      </c>
      <c r="S23" s="467">
        <f t="shared" si="9"/>
        <v>0</v>
      </c>
      <c r="T23" s="467">
        <f t="shared" si="10"/>
        <v>0</v>
      </c>
      <c r="U23" s="467"/>
      <c r="V23" s="467">
        <f t="shared" si="11"/>
        <v>44843.1949184</v>
      </c>
      <c r="W23" s="474">
        <v>12</v>
      </c>
      <c r="X23" s="467">
        <f t="shared" si="12"/>
        <v>3736.93290986667</v>
      </c>
      <c r="Y23" s="467"/>
      <c r="Z23" s="467">
        <f t="shared" si="13"/>
        <v>3736.93290986667</v>
      </c>
      <c r="AA23" s="479"/>
    </row>
    <row r="24" ht="14" spans="1:27">
      <c r="A24" s="757">
        <v>20</v>
      </c>
      <c r="B24" s="757" t="s">
        <v>190</v>
      </c>
      <c r="C24" s="762">
        <v>180487.250000001</v>
      </c>
      <c r="D24" s="466">
        <v>12</v>
      </c>
      <c r="E24" s="467">
        <f t="shared" si="0"/>
        <v>2165847.00000001</v>
      </c>
      <c r="F24" s="467">
        <f>6922.5*12</f>
        <v>83070</v>
      </c>
      <c r="G24" s="467">
        <v>374638.9632</v>
      </c>
      <c r="H24" s="467"/>
      <c r="I24" s="467">
        <f t="shared" si="1"/>
        <v>1708138.03680001</v>
      </c>
      <c r="J24" s="467">
        <v>200000</v>
      </c>
      <c r="K24" s="467">
        <v>0.2</v>
      </c>
      <c r="L24" s="467">
        <f t="shared" si="2"/>
        <v>341627.607360002</v>
      </c>
      <c r="M24" s="467">
        <f t="shared" si="3"/>
        <v>541627.607360002</v>
      </c>
      <c r="N24" s="467">
        <f t="shared" si="4"/>
        <v>999336.570560002</v>
      </c>
      <c r="O24" s="467">
        <f t="shared" si="5"/>
        <v>1166510.42944001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12636.9815936019</v>
      </c>
      <c r="T24" s="467">
        <f t="shared" si="10"/>
        <v>0</v>
      </c>
      <c r="U24" s="467"/>
      <c r="V24" s="467">
        <f t="shared" si="11"/>
        <v>141636.981593602</v>
      </c>
      <c r="W24" s="474">
        <v>12</v>
      </c>
      <c r="X24" s="467">
        <f t="shared" si="12"/>
        <v>11803.0817994668</v>
      </c>
      <c r="Y24" s="467"/>
      <c r="Z24" s="467">
        <f t="shared" si="13"/>
        <v>11803.0817994668</v>
      </c>
      <c r="AA24" s="479"/>
    </row>
    <row r="25" ht="13" spans="6:26">
      <c r="F25" s="499"/>
      <c r="Z25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19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19">
      <c r="A2" s="609" t="s">
        <v>983</v>
      </c>
      <c r="B2" s="770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19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19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813</v>
      </c>
      <c r="M4" s="736" t="s">
        <v>814</v>
      </c>
      <c r="N4" s="736" t="s">
        <v>14</v>
      </c>
      <c r="O4" s="745" t="s">
        <v>15</v>
      </c>
      <c r="P4" s="736" t="s">
        <v>16</v>
      </c>
      <c r="Q4" s="747" t="s">
        <v>17</v>
      </c>
      <c r="R4" s="748" t="s">
        <v>984</v>
      </c>
      <c r="S4" s="749" t="s">
        <v>985</v>
      </c>
    </row>
    <row r="5" spans="1:19">
      <c r="A5" s="729"/>
      <c r="B5" s="729"/>
      <c r="C5" s="771"/>
      <c r="D5" s="771"/>
      <c r="E5" s="772" t="s">
        <v>20</v>
      </c>
      <c r="F5" s="772" t="s">
        <v>20</v>
      </c>
      <c r="G5" s="772" t="s">
        <v>20</v>
      </c>
      <c r="H5" s="772" t="s">
        <v>20</v>
      </c>
      <c r="I5" s="772" t="s">
        <v>20</v>
      </c>
      <c r="J5" s="780" t="s">
        <v>20</v>
      </c>
      <c r="K5" s="772" t="s">
        <v>20</v>
      </c>
      <c r="L5" s="772" t="s">
        <v>20</v>
      </c>
      <c r="M5" s="772" t="s">
        <v>20</v>
      </c>
      <c r="N5" s="772" t="s">
        <v>20</v>
      </c>
      <c r="O5" s="772" t="s">
        <v>20</v>
      </c>
      <c r="P5" s="772" t="s">
        <v>20</v>
      </c>
      <c r="Q5" s="781" t="s">
        <v>20</v>
      </c>
      <c r="R5" s="772" t="s">
        <v>20</v>
      </c>
      <c r="S5" s="780" t="s">
        <v>20</v>
      </c>
    </row>
    <row r="6" spans="1:19">
      <c r="A6" s="773" t="s">
        <v>21</v>
      </c>
      <c r="B6" s="771" t="s">
        <v>22</v>
      </c>
      <c r="C6" s="771"/>
      <c r="D6" s="771"/>
      <c r="E6" s="772"/>
      <c r="F6" s="774"/>
      <c r="G6" s="772"/>
      <c r="H6" s="772"/>
      <c r="I6" s="772"/>
      <c r="J6" s="780"/>
      <c r="K6" s="772"/>
      <c r="L6" s="772"/>
      <c r="M6" s="772"/>
      <c r="N6" s="772"/>
      <c r="O6" s="772"/>
      <c r="P6" s="772"/>
      <c r="Q6" s="781"/>
      <c r="R6" s="772"/>
      <c r="S6" s="780"/>
    </row>
    <row r="7" s="769" customFormat="1" ht="27" customHeight="1" spans="1:20">
      <c r="A7" s="739">
        <v>2</v>
      </c>
      <c r="B7" s="775" t="s">
        <v>839</v>
      </c>
      <c r="C7" s="776" t="s">
        <v>43</v>
      </c>
      <c r="D7" s="739" t="s">
        <v>38</v>
      </c>
      <c r="E7" s="741">
        <v>620675.583333333</v>
      </c>
      <c r="F7" s="741"/>
      <c r="G7" s="742">
        <f>160000</f>
        <v>160000</v>
      </c>
      <c r="H7" s="742"/>
      <c r="I7" s="741">
        <v>0</v>
      </c>
      <c r="J7" s="746">
        <f>SUM(E7:I7)</f>
        <v>780675.583333333</v>
      </c>
      <c r="K7" s="741"/>
      <c r="L7" s="741">
        <f>50000</f>
        <v>50000</v>
      </c>
      <c r="M7" s="741">
        <f>385000</f>
        <v>385000</v>
      </c>
      <c r="N7" s="741"/>
      <c r="O7" s="741">
        <v>119022.801706667</v>
      </c>
      <c r="P7" s="741">
        <v>49654.0466666667</v>
      </c>
      <c r="Q7" s="750">
        <f>O7+N7+M7+L7+K7+P7</f>
        <v>603676.848373334</v>
      </c>
      <c r="R7" s="741">
        <v>176998.73496</v>
      </c>
      <c r="S7" s="746">
        <f>J7-Q7</f>
        <v>176998.734959999</v>
      </c>
      <c r="T7" s="751"/>
    </row>
    <row r="8" s="769" customFormat="1" ht="30" customHeight="1" spans="1:20">
      <c r="A8" s="739">
        <v>3</v>
      </c>
      <c r="B8" s="777" t="s">
        <v>846</v>
      </c>
      <c r="C8" s="778" t="s">
        <v>167</v>
      </c>
      <c r="D8" s="779" t="s">
        <v>502</v>
      </c>
      <c r="E8" s="741">
        <v>428915.916666667</v>
      </c>
      <c r="F8" s="741">
        <v>0</v>
      </c>
      <c r="G8" s="742">
        <f>120000</f>
        <v>120000</v>
      </c>
      <c r="H8" s="742"/>
      <c r="I8" s="741">
        <v>0</v>
      </c>
      <c r="J8" s="746">
        <f>SUM(E8:I8)</f>
        <v>548915.916666667</v>
      </c>
      <c r="K8" s="741"/>
      <c r="L8" s="741">
        <f>20000+65000+65000</f>
        <v>150000</v>
      </c>
      <c r="M8" s="741">
        <v>0</v>
      </c>
      <c r="N8" s="741">
        <v>0</v>
      </c>
      <c r="O8" s="741">
        <v>77470.3741866667</v>
      </c>
      <c r="P8" s="741">
        <v>34313.2733333333</v>
      </c>
      <c r="Q8" s="750">
        <f>O8+N8+M8+L8+K8+P8</f>
        <v>261783.64752</v>
      </c>
      <c r="R8" s="741">
        <v>287132.269146667</v>
      </c>
      <c r="S8" s="746">
        <f>J8-Q8</f>
        <v>287132.269146667</v>
      </c>
      <c r="T8" s="751"/>
    </row>
    <row r="9" ht="18" spans="1:19">
      <c r="A9" s="10"/>
      <c r="B9" s="20" t="s">
        <v>120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opLeftCell="A2"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2"/>
      <c r="B1" s="752"/>
      <c r="C1" s="752"/>
      <c r="D1" s="752"/>
      <c r="E1" s="752"/>
      <c r="F1" s="752"/>
      <c r="G1" s="752"/>
      <c r="H1" s="752"/>
      <c r="I1" s="752"/>
      <c r="J1" s="752"/>
    </row>
    <row r="2" ht="20" spans="1:10">
      <c r="A2" s="752"/>
      <c r="B2" s="752"/>
      <c r="C2" s="752"/>
      <c r="D2" s="752"/>
      <c r="E2" s="752"/>
      <c r="F2" s="752"/>
      <c r="G2" s="752"/>
      <c r="H2" s="752"/>
      <c r="I2" s="752"/>
      <c r="J2" s="752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7">
      <c r="A1" s="752" t="s">
        <v>578</v>
      </c>
      <c r="B1" s="752"/>
      <c r="C1" s="752"/>
      <c r="D1" s="752"/>
      <c r="E1" s="752"/>
      <c r="F1" s="752"/>
      <c r="G1" s="752"/>
    </row>
    <row r="2" ht="20" spans="1:7">
      <c r="A2" s="752" t="s">
        <v>949</v>
      </c>
      <c r="B2" s="752"/>
      <c r="C2" s="752"/>
      <c r="D2" s="752"/>
      <c r="E2" s="752"/>
      <c r="F2" s="752"/>
      <c r="G2" s="752"/>
    </row>
    <row r="3" ht="14" spans="1:7">
      <c r="A3" s="753"/>
      <c r="B3" s="753"/>
      <c r="C3" s="753"/>
      <c r="D3" s="753"/>
      <c r="E3" s="753"/>
      <c r="F3" s="753"/>
      <c r="G3" s="753"/>
    </row>
    <row r="4" ht="90.95" customHeight="1" spans="1:8">
      <c r="A4" s="754" t="s">
        <v>580</v>
      </c>
      <c r="B4" s="754" t="s">
        <v>581</v>
      </c>
      <c r="C4" s="754" t="s">
        <v>582</v>
      </c>
      <c r="D4" s="754" t="s">
        <v>584</v>
      </c>
      <c r="E4" s="754" t="s">
        <v>986</v>
      </c>
      <c r="F4" s="754" t="s">
        <v>987</v>
      </c>
      <c r="G4" s="755" t="s">
        <v>988</v>
      </c>
      <c r="H4" s="755" t="s">
        <v>989</v>
      </c>
    </row>
    <row r="5" ht="14" spans="1:8">
      <c r="A5" s="754"/>
      <c r="B5" s="754"/>
      <c r="C5" s="754"/>
      <c r="D5" s="754"/>
      <c r="E5" s="754"/>
      <c r="F5" s="756" t="s">
        <v>20</v>
      </c>
      <c r="G5" s="756" t="s">
        <v>20</v>
      </c>
      <c r="H5" s="756" t="s">
        <v>20</v>
      </c>
    </row>
    <row r="6" ht="35.1" customHeight="1" spans="1:8">
      <c r="A6" s="757">
        <v>1</v>
      </c>
      <c r="B6" s="758" t="s">
        <v>913</v>
      </c>
      <c r="C6" s="759" t="s">
        <v>592</v>
      </c>
      <c r="D6" s="1091" t="s">
        <v>622</v>
      </c>
      <c r="E6" s="761">
        <f>F6*12</f>
        <v>6985416.96</v>
      </c>
      <c r="F6" s="762">
        <f>582118.08</f>
        <v>582118.08</v>
      </c>
      <c r="G6" s="763">
        <f>F6*0.08</f>
        <v>46569.4464</v>
      </c>
      <c r="H6" s="764">
        <f>G6*12</f>
        <v>558833.3568</v>
      </c>
    </row>
    <row r="7" ht="35.1" customHeight="1" spans="1:8">
      <c r="A7" s="757">
        <v>2</v>
      </c>
      <c r="B7" s="757" t="s">
        <v>914</v>
      </c>
      <c r="C7" s="765" t="s">
        <v>592</v>
      </c>
      <c r="D7" s="1091" t="s">
        <v>951</v>
      </c>
      <c r="E7" s="761">
        <f t="shared" ref="E7:E25" si="0">F7*12</f>
        <v>6985416.96</v>
      </c>
      <c r="F7" s="762">
        <f>582118.08</f>
        <v>582118.08</v>
      </c>
      <c r="G7" s="763">
        <f t="shared" ref="G7:G25" si="1">F7*0.08</f>
        <v>46569.4464</v>
      </c>
      <c r="H7" s="764">
        <f t="shared" ref="H7:H25" si="2">G7*12</f>
        <v>558833.3568</v>
      </c>
    </row>
    <row r="8" ht="35.1" customHeight="1" spans="1:8">
      <c r="A8" s="757">
        <v>3</v>
      </c>
      <c r="B8" s="757" t="s">
        <v>915</v>
      </c>
      <c r="C8" s="765" t="s">
        <v>592</v>
      </c>
      <c r="D8" s="1091" t="s">
        <v>951</v>
      </c>
      <c r="E8" s="761">
        <f t="shared" si="0"/>
        <v>6985416.96</v>
      </c>
      <c r="F8" s="762">
        <f>582118.08</f>
        <v>582118.08</v>
      </c>
      <c r="G8" s="763">
        <f t="shared" si="1"/>
        <v>46569.4464</v>
      </c>
      <c r="H8" s="764">
        <f t="shared" si="2"/>
        <v>558833.3568</v>
      </c>
    </row>
    <row r="9" ht="35.1" customHeight="1" spans="1:8">
      <c r="A9" s="757">
        <v>4</v>
      </c>
      <c r="B9" s="757" t="s">
        <v>916</v>
      </c>
      <c r="C9" s="765" t="s">
        <v>592</v>
      </c>
      <c r="D9" s="1091" t="s">
        <v>951</v>
      </c>
      <c r="E9" s="761">
        <f t="shared" si="0"/>
        <v>6985416.96</v>
      </c>
      <c r="F9" s="762">
        <f>582118.08</f>
        <v>582118.08</v>
      </c>
      <c r="G9" s="763">
        <f t="shared" si="1"/>
        <v>46569.4464</v>
      </c>
      <c r="H9" s="764">
        <f t="shared" si="2"/>
        <v>558833.3568</v>
      </c>
    </row>
    <row r="10" ht="35.1" customHeight="1" spans="1:8">
      <c r="A10" s="757">
        <v>5</v>
      </c>
      <c r="B10" s="757" t="s">
        <v>917</v>
      </c>
      <c r="C10" s="765" t="s">
        <v>953</v>
      </c>
      <c r="D10" s="1091" t="s">
        <v>955</v>
      </c>
      <c r="E10" s="761">
        <f t="shared" si="0"/>
        <v>1833770.04</v>
      </c>
      <c r="F10" s="766">
        <f>152814.17</f>
        <v>152814.17</v>
      </c>
      <c r="G10" s="763">
        <f t="shared" si="1"/>
        <v>12225.1336</v>
      </c>
      <c r="H10" s="764">
        <f t="shared" si="2"/>
        <v>146701.6032</v>
      </c>
    </row>
    <row r="11" ht="35.1" customHeight="1" spans="1:8">
      <c r="A11" s="757">
        <v>6</v>
      </c>
      <c r="B11" s="757" t="s">
        <v>339</v>
      </c>
      <c r="C11" s="765" t="s">
        <v>953</v>
      </c>
      <c r="D11" s="1091" t="s">
        <v>957</v>
      </c>
      <c r="E11" s="761">
        <f t="shared" si="0"/>
        <v>3070188</v>
      </c>
      <c r="F11" s="766">
        <f>255849</f>
        <v>255849</v>
      </c>
      <c r="G11" s="763">
        <f t="shared" si="1"/>
        <v>20467.92</v>
      </c>
      <c r="H11" s="764">
        <f t="shared" si="2"/>
        <v>245615.04</v>
      </c>
    </row>
    <row r="12" ht="35.1" customHeight="1" spans="1:8">
      <c r="A12" s="757">
        <v>7</v>
      </c>
      <c r="B12" s="757" t="s">
        <v>918</v>
      </c>
      <c r="C12" s="765" t="s">
        <v>953</v>
      </c>
      <c r="D12" s="1091" t="s">
        <v>959</v>
      </c>
      <c r="E12" s="761">
        <f t="shared" si="0"/>
        <v>4242150</v>
      </c>
      <c r="F12" s="762">
        <f>353512.5</f>
        <v>353512.5</v>
      </c>
      <c r="G12" s="763">
        <f t="shared" si="1"/>
        <v>28281</v>
      </c>
      <c r="H12" s="764">
        <f t="shared" si="2"/>
        <v>339372</v>
      </c>
    </row>
    <row r="13" ht="35.1" customHeight="1" spans="1:8">
      <c r="A13" s="757">
        <v>8</v>
      </c>
      <c r="B13" s="757" t="s">
        <v>919</v>
      </c>
      <c r="C13" s="765" t="s">
        <v>953</v>
      </c>
      <c r="D13" s="1091" t="s">
        <v>959</v>
      </c>
      <c r="E13" s="761">
        <f t="shared" si="0"/>
        <v>4242150</v>
      </c>
      <c r="F13" s="762">
        <f>353512.5</f>
        <v>353512.5</v>
      </c>
      <c r="G13" s="763">
        <f t="shared" si="1"/>
        <v>28281</v>
      </c>
      <c r="H13" s="764">
        <f t="shared" si="2"/>
        <v>339372</v>
      </c>
    </row>
    <row r="14" ht="35.1" customHeight="1" spans="1:8">
      <c r="A14" s="757">
        <v>9</v>
      </c>
      <c r="B14" s="765" t="s">
        <v>920</v>
      </c>
      <c r="C14" s="765" t="s">
        <v>953</v>
      </c>
      <c r="D14" s="1091" t="s">
        <v>633</v>
      </c>
      <c r="E14" s="761">
        <f t="shared" si="0"/>
        <v>4682987.04</v>
      </c>
      <c r="F14" s="762">
        <f>390248.92</f>
        <v>390248.92</v>
      </c>
      <c r="G14" s="763">
        <f t="shared" si="1"/>
        <v>31219.9136</v>
      </c>
      <c r="H14" s="764">
        <f t="shared" si="2"/>
        <v>374638.9632</v>
      </c>
    </row>
    <row r="15" ht="35.1" customHeight="1" spans="1:8">
      <c r="A15" s="757">
        <v>10</v>
      </c>
      <c r="B15" s="757" t="s">
        <v>921</v>
      </c>
      <c r="C15" s="765" t="s">
        <v>953</v>
      </c>
      <c r="D15" s="1091" t="s">
        <v>633</v>
      </c>
      <c r="E15" s="761">
        <f t="shared" si="0"/>
        <v>4682987.04</v>
      </c>
      <c r="F15" s="762">
        <f>390248.92</f>
        <v>390248.92</v>
      </c>
      <c r="G15" s="763">
        <f t="shared" si="1"/>
        <v>31219.9136</v>
      </c>
      <c r="H15" s="764">
        <f t="shared" si="2"/>
        <v>374638.9632</v>
      </c>
    </row>
    <row r="16" ht="35.1" customHeight="1" spans="1:8">
      <c r="A16" s="757">
        <v>11</v>
      </c>
      <c r="B16" s="757" t="s">
        <v>922</v>
      </c>
      <c r="C16" s="765" t="s">
        <v>962</v>
      </c>
      <c r="D16" s="1091" t="s">
        <v>951</v>
      </c>
      <c r="E16" s="761">
        <f t="shared" si="0"/>
        <v>6985416.96</v>
      </c>
      <c r="F16" s="762">
        <v>582118.08</v>
      </c>
      <c r="G16" s="763">
        <f t="shared" si="1"/>
        <v>46569.4464</v>
      </c>
      <c r="H16" s="764">
        <f t="shared" si="2"/>
        <v>558833.3568</v>
      </c>
    </row>
    <row r="17" ht="35.1" customHeight="1" spans="1:8">
      <c r="A17" s="757">
        <v>12</v>
      </c>
      <c r="B17" s="757" t="s">
        <v>308</v>
      </c>
      <c r="C17" s="765" t="s">
        <v>962</v>
      </c>
      <c r="D17" s="1091" t="s">
        <v>951</v>
      </c>
      <c r="E17" s="761">
        <f t="shared" si="0"/>
        <v>6985416.96</v>
      </c>
      <c r="F17" s="762">
        <v>582118.08</v>
      </c>
      <c r="G17" s="763">
        <f t="shared" si="1"/>
        <v>46569.4464</v>
      </c>
      <c r="H17" s="764">
        <f t="shared" si="2"/>
        <v>558833.3568</v>
      </c>
    </row>
    <row r="18" ht="35.1" customHeight="1" spans="1:8">
      <c r="A18" s="757">
        <v>13</v>
      </c>
      <c r="B18" s="757" t="s">
        <v>923</v>
      </c>
      <c r="C18" s="765" t="s">
        <v>962</v>
      </c>
      <c r="D18" s="1091" t="s">
        <v>633</v>
      </c>
      <c r="E18" s="761">
        <f t="shared" si="0"/>
        <v>4682987.04</v>
      </c>
      <c r="F18" s="762">
        <v>390248.92</v>
      </c>
      <c r="G18" s="763">
        <f t="shared" si="1"/>
        <v>31219.9136</v>
      </c>
      <c r="H18" s="764">
        <f t="shared" si="2"/>
        <v>374638.9632</v>
      </c>
    </row>
    <row r="19" ht="35.1" customHeight="1" spans="1:8">
      <c r="A19" s="757">
        <v>14</v>
      </c>
      <c r="B19" s="757" t="s">
        <v>924</v>
      </c>
      <c r="C19" s="765" t="s">
        <v>963</v>
      </c>
      <c r="D19" s="1091" t="s">
        <v>965</v>
      </c>
      <c r="E19" s="761">
        <f t="shared" si="0"/>
        <v>5312958</v>
      </c>
      <c r="F19" s="762">
        <f>442746.5</f>
        <v>442746.5</v>
      </c>
      <c r="G19" s="763">
        <f t="shared" si="1"/>
        <v>35419.72</v>
      </c>
      <c r="H19" s="764">
        <f t="shared" si="2"/>
        <v>425036.64</v>
      </c>
    </row>
    <row r="20" ht="35.1" customHeight="1" spans="1:8">
      <c r="A20" s="757">
        <v>15</v>
      </c>
      <c r="B20" s="757" t="s">
        <v>846</v>
      </c>
      <c r="C20" s="765" t="s">
        <v>963</v>
      </c>
      <c r="D20" s="1091" t="s">
        <v>965</v>
      </c>
      <c r="E20" s="761">
        <f t="shared" si="0"/>
        <v>5312958</v>
      </c>
      <c r="F20" s="762">
        <f>442746.5</f>
        <v>442746.5</v>
      </c>
      <c r="G20" s="763">
        <f t="shared" si="1"/>
        <v>35419.72</v>
      </c>
      <c r="H20" s="764">
        <f t="shared" si="2"/>
        <v>425036.64</v>
      </c>
    </row>
    <row r="21" ht="35.1" customHeight="1" spans="1:8">
      <c r="A21" s="757">
        <v>16</v>
      </c>
      <c r="B21" s="757" t="s">
        <v>925</v>
      </c>
      <c r="C21" s="765" t="s">
        <v>963</v>
      </c>
      <c r="D21" s="1091" t="s">
        <v>959</v>
      </c>
      <c r="E21" s="761">
        <f t="shared" si="0"/>
        <v>4242150</v>
      </c>
      <c r="F21" s="762">
        <v>353512.5</v>
      </c>
      <c r="G21" s="763">
        <f t="shared" si="1"/>
        <v>28281</v>
      </c>
      <c r="H21" s="764">
        <f t="shared" si="2"/>
        <v>339372</v>
      </c>
    </row>
    <row r="22" ht="35.1" customHeight="1" spans="1:8">
      <c r="A22" s="757">
        <v>17</v>
      </c>
      <c r="B22" s="757" t="s">
        <v>927</v>
      </c>
      <c r="C22" s="765" t="s">
        <v>644</v>
      </c>
      <c r="D22" s="1091" t="s">
        <v>959</v>
      </c>
      <c r="E22" s="761">
        <f t="shared" si="0"/>
        <v>4242150</v>
      </c>
      <c r="F22" s="762">
        <v>353512.5</v>
      </c>
      <c r="G22" s="763">
        <f t="shared" si="1"/>
        <v>28281</v>
      </c>
      <c r="H22" s="764">
        <f t="shared" si="2"/>
        <v>339372</v>
      </c>
    </row>
    <row r="23" ht="35.1" customHeight="1" spans="1:8">
      <c r="A23" s="757">
        <v>18</v>
      </c>
      <c r="B23" s="757" t="s">
        <v>982</v>
      </c>
      <c r="C23" s="765" t="s">
        <v>714</v>
      </c>
      <c r="D23" s="1091" t="s">
        <v>957</v>
      </c>
      <c r="E23" s="761">
        <f t="shared" si="0"/>
        <v>3070188</v>
      </c>
      <c r="F23" s="762">
        <v>255849</v>
      </c>
      <c r="G23" s="763">
        <f t="shared" si="1"/>
        <v>20467.92</v>
      </c>
      <c r="H23" s="764">
        <f t="shared" si="2"/>
        <v>245615.04</v>
      </c>
    </row>
    <row r="24" ht="35.1" customHeight="1" spans="1:8">
      <c r="A24" s="757">
        <v>19</v>
      </c>
      <c r="B24" s="757" t="s">
        <v>928</v>
      </c>
      <c r="C24" s="765" t="s">
        <v>966</v>
      </c>
      <c r="D24" s="1091" t="s">
        <v>955</v>
      </c>
      <c r="E24" s="761">
        <f t="shared" si="0"/>
        <v>1833770.04</v>
      </c>
      <c r="F24" s="762">
        <v>152814.17</v>
      </c>
      <c r="G24" s="763">
        <f t="shared" si="1"/>
        <v>12225.1336</v>
      </c>
      <c r="H24" s="764">
        <f t="shared" si="2"/>
        <v>146701.6032</v>
      </c>
    </row>
    <row r="25" ht="35.1" customHeight="1" spans="1:8">
      <c r="A25" s="757">
        <v>20</v>
      </c>
      <c r="B25" s="757" t="s">
        <v>190</v>
      </c>
      <c r="C25" s="765" t="s">
        <v>968</v>
      </c>
      <c r="D25" s="1091" t="s">
        <v>633</v>
      </c>
      <c r="E25" s="761">
        <f t="shared" si="0"/>
        <v>4682987.04</v>
      </c>
      <c r="F25" s="762">
        <v>390248.92</v>
      </c>
      <c r="G25" s="763">
        <f t="shared" si="1"/>
        <v>31219.9136</v>
      </c>
      <c r="H25" s="764">
        <f t="shared" si="2"/>
        <v>374638.9632</v>
      </c>
    </row>
    <row r="26" ht="35.1" customHeight="1" spans="1:7">
      <c r="A26" s="757"/>
      <c r="B26" s="767" t="s">
        <v>120</v>
      </c>
      <c r="C26" s="765"/>
      <c r="D26" s="765"/>
      <c r="E26" s="765"/>
      <c r="F26" s="768"/>
      <c r="G26" s="768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7" t="s">
        <v>0</v>
      </c>
      <c r="B1" s="727"/>
      <c r="C1" s="727"/>
      <c r="D1" s="727"/>
      <c r="E1" s="727"/>
      <c r="F1" s="727"/>
      <c r="G1" s="728"/>
      <c r="H1" s="728"/>
      <c r="I1" s="728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1"/>
    </row>
    <row r="2" ht="18" spans="1:20">
      <c r="A2" s="727" t="s">
        <v>983</v>
      </c>
      <c r="B2" s="729"/>
      <c r="C2" s="727"/>
      <c r="D2" s="727"/>
      <c r="E2" s="730"/>
      <c r="F2" s="730"/>
      <c r="G2" s="731"/>
      <c r="H2" s="731"/>
      <c r="I2" s="731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1"/>
    </row>
    <row r="3" ht="18" spans="1:20">
      <c r="A3" s="729"/>
      <c r="B3" s="729"/>
      <c r="C3" s="729"/>
      <c r="D3" s="729"/>
      <c r="E3" s="728" t="e">
        <f>'[1]FEB 08'!E11/'[1]FEB 08'!M11</f>
        <v>#REF!</v>
      </c>
      <c r="F3" s="728"/>
      <c r="G3" s="728"/>
      <c r="H3" s="728"/>
      <c r="I3" s="728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1"/>
    </row>
    <row r="4" ht="34.5" spans="1:20">
      <c r="A4" s="732"/>
      <c r="B4" s="733" t="s">
        <v>2</v>
      </c>
      <c r="C4" s="734" t="s">
        <v>3</v>
      </c>
      <c r="D4" s="735" t="s">
        <v>4</v>
      </c>
      <c r="E4" s="736" t="s">
        <v>5</v>
      </c>
      <c r="F4" s="736" t="s">
        <v>6</v>
      </c>
      <c r="G4" s="736" t="s">
        <v>7</v>
      </c>
      <c r="H4" s="736" t="s">
        <v>7</v>
      </c>
      <c r="I4" s="736" t="s">
        <v>8</v>
      </c>
      <c r="J4" s="744" t="s">
        <v>9</v>
      </c>
      <c r="K4" s="736" t="s">
        <v>10</v>
      </c>
      <c r="L4" s="736" t="s">
        <v>813</v>
      </c>
      <c r="M4" s="736" t="s">
        <v>814</v>
      </c>
      <c r="N4" s="736" t="s">
        <v>14</v>
      </c>
      <c r="O4" s="745" t="s">
        <v>15</v>
      </c>
      <c r="P4" s="736" t="s">
        <v>16</v>
      </c>
      <c r="Q4" s="747" t="s">
        <v>17</v>
      </c>
      <c r="R4" s="748" t="s">
        <v>984</v>
      </c>
      <c r="S4" s="749" t="s">
        <v>985</v>
      </c>
      <c r="T4" s="1"/>
    </row>
    <row r="5" ht="18" spans="1:20">
      <c r="A5" s="1"/>
      <c r="B5" s="1"/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508" t="s">
        <v>20</v>
      </c>
      <c r="R5" s="82" t="s">
        <v>20</v>
      </c>
      <c r="S5" s="507" t="s">
        <v>20</v>
      </c>
      <c r="T5" s="1"/>
    </row>
    <row r="6" ht="18" spans="1:20">
      <c r="A6" s="737" t="s">
        <v>21</v>
      </c>
      <c r="B6" s="738" t="s">
        <v>22</v>
      </c>
      <c r="C6" s="73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39">
        <v>25</v>
      </c>
      <c r="B7" s="740" t="s">
        <v>990</v>
      </c>
      <c r="C7" s="281" t="s">
        <v>991</v>
      </c>
      <c r="D7" s="739" t="s">
        <v>344</v>
      </c>
      <c r="E7" s="741">
        <v>255849</v>
      </c>
      <c r="F7" s="741"/>
      <c r="G7" s="742"/>
      <c r="H7" s="742">
        <f>60000</f>
        <v>60000</v>
      </c>
      <c r="I7" s="741"/>
      <c r="J7" s="746">
        <f>E7+F7+G7+H7+I7</f>
        <v>315849</v>
      </c>
      <c r="K7" s="741"/>
      <c r="L7" s="741"/>
      <c r="M7" s="741"/>
      <c r="N7" s="741"/>
      <c r="O7" s="741">
        <v>36790.6881066667</v>
      </c>
      <c r="P7" s="741">
        <v>20467.92</v>
      </c>
      <c r="Q7" s="750">
        <f>O7+N7+M7+L7+K7+P7</f>
        <v>57258.6081066667</v>
      </c>
      <c r="R7" s="741"/>
      <c r="S7" s="746">
        <f>J7-Q7</f>
        <v>258590.391893333</v>
      </c>
      <c r="T7" s="751"/>
    </row>
  </sheetData>
  <mergeCells count="1">
    <mergeCell ref="A1:F1"/>
  </mergeCell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196" activePane="bottomRight" state="frozen"/>
      <selection/>
      <selection pane="topRight"/>
      <selection pane="bottomLeft"/>
      <selection pane="bottomRight" activeCell="H12" sqref="H12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992</v>
      </c>
      <c r="B2" s="257"/>
      <c r="C2" s="236"/>
      <c r="D2" s="236"/>
      <c r="E2" s="78"/>
    </row>
    <row r="3" ht="9.75" customHeight="1"/>
    <row r="4" ht="49.5" customHeight="1" spans="1:5">
      <c r="A4" s="520"/>
      <c r="B4" s="724" t="s">
        <v>2</v>
      </c>
      <c r="C4" s="725" t="s">
        <v>3</v>
      </c>
      <c r="D4" s="726" t="s">
        <v>4</v>
      </c>
      <c r="E4" s="699" t="s">
        <v>597</v>
      </c>
    </row>
    <row r="5" ht="17.25" customHeight="1" spans="3:5">
      <c r="C5" s="8"/>
      <c r="D5" s="8"/>
      <c r="E5" s="701" t="s">
        <v>20</v>
      </c>
    </row>
    <row r="6" customHeight="1" spans="1:5">
      <c r="A6" s="9" t="s">
        <v>21</v>
      </c>
      <c r="B6" s="8" t="s">
        <v>22</v>
      </c>
      <c r="C6" s="8"/>
      <c r="D6" s="8"/>
      <c r="E6" s="701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704">
        <v>540000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704">
        <v>180000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704">
        <v>180000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704">
        <v>180000</v>
      </c>
    </row>
    <row r="11" customHeight="1" spans="1:5">
      <c r="A11" s="10">
        <v>5</v>
      </c>
      <c r="B11" s="14" t="s">
        <v>301</v>
      </c>
      <c r="C11" s="4" t="s">
        <v>832</v>
      </c>
      <c r="D11" s="10" t="s">
        <v>28</v>
      </c>
      <c r="E11" s="704">
        <v>180000</v>
      </c>
    </row>
    <row r="12" customHeight="1" spans="1:5">
      <c r="A12" s="10">
        <v>6</v>
      </c>
      <c r="B12" s="11" t="s">
        <v>33</v>
      </c>
      <c r="C12" s="12" t="s">
        <v>835</v>
      </c>
      <c r="D12" s="15" t="s">
        <v>38</v>
      </c>
      <c r="E12" s="704">
        <v>126000</v>
      </c>
    </row>
    <row r="13" customHeight="1" spans="1:5">
      <c r="A13" s="10">
        <v>7</v>
      </c>
      <c r="B13" s="11" t="s">
        <v>36</v>
      </c>
      <c r="C13" s="4" t="s">
        <v>37</v>
      </c>
      <c r="D13" s="10" t="s">
        <v>41</v>
      </c>
      <c r="E13" s="704">
        <v>126000</v>
      </c>
    </row>
    <row r="14" customHeight="1" spans="1:5">
      <c r="A14" s="10">
        <v>8</v>
      </c>
      <c r="B14" s="11" t="s">
        <v>39</v>
      </c>
      <c r="C14" s="4" t="s">
        <v>547</v>
      </c>
      <c r="D14" s="15" t="s">
        <v>189</v>
      </c>
      <c r="E14" s="704">
        <v>90000</v>
      </c>
    </row>
    <row r="15" customHeight="1" spans="1:5">
      <c r="A15" s="10">
        <v>9</v>
      </c>
      <c r="B15" s="14" t="s">
        <v>42</v>
      </c>
      <c r="C15" s="17" t="s">
        <v>43</v>
      </c>
      <c r="D15" s="15" t="s">
        <v>41</v>
      </c>
      <c r="E15" s="704">
        <v>126000</v>
      </c>
    </row>
    <row r="16" customHeight="1" spans="1:5">
      <c r="A16" s="10">
        <v>10</v>
      </c>
      <c r="B16" s="11" t="s">
        <v>44</v>
      </c>
      <c r="C16" s="4" t="s">
        <v>45</v>
      </c>
      <c r="D16" s="10" t="s">
        <v>52</v>
      </c>
      <c r="E16" s="704">
        <v>90000</v>
      </c>
    </row>
    <row r="17" customHeight="1" spans="1:5">
      <c r="A17" s="10">
        <v>11</v>
      </c>
      <c r="B17" s="11" t="s">
        <v>47</v>
      </c>
      <c r="C17" s="4" t="s">
        <v>48</v>
      </c>
      <c r="D17" s="10" t="s">
        <v>41</v>
      </c>
      <c r="E17" s="704">
        <v>126000</v>
      </c>
    </row>
    <row r="18" customHeight="1" spans="1:5">
      <c r="A18" s="10">
        <v>12</v>
      </c>
      <c r="B18" s="11" t="s">
        <v>50</v>
      </c>
      <c r="C18" s="12" t="s">
        <v>60</v>
      </c>
      <c r="D18" s="15" t="s">
        <v>502</v>
      </c>
      <c r="E18" s="704">
        <v>90000</v>
      </c>
    </row>
    <row r="19" customHeight="1" spans="1:5">
      <c r="A19" s="10">
        <v>13</v>
      </c>
      <c r="B19" s="18" t="s">
        <v>53</v>
      </c>
      <c r="C19" s="4" t="s">
        <v>54</v>
      </c>
      <c r="D19" s="15" t="s">
        <v>58</v>
      </c>
      <c r="E19" s="704">
        <v>90000</v>
      </c>
    </row>
    <row r="20" customHeight="1" spans="1:5">
      <c r="A20" s="10">
        <v>14</v>
      </c>
      <c r="B20" s="18" t="s">
        <v>56</v>
      </c>
      <c r="C20" s="4" t="s">
        <v>57</v>
      </c>
      <c r="D20" s="15" t="s">
        <v>926</v>
      </c>
      <c r="E20" s="704">
        <v>90000</v>
      </c>
    </row>
    <row r="21" customHeight="1" spans="1:5">
      <c r="A21" s="10">
        <v>15</v>
      </c>
      <c r="B21" s="18" t="s">
        <v>59</v>
      </c>
      <c r="C21" s="4" t="s">
        <v>60</v>
      </c>
      <c r="D21" s="15" t="s">
        <v>926</v>
      </c>
      <c r="E21" s="704">
        <v>90000</v>
      </c>
    </row>
    <row r="22" ht="18.75" customHeight="1" spans="1:5">
      <c r="A22" s="10">
        <v>16</v>
      </c>
      <c r="B22" s="11" t="s">
        <v>64</v>
      </c>
      <c r="C22" s="12" t="s">
        <v>176</v>
      </c>
      <c r="D22" s="15" t="s">
        <v>69</v>
      </c>
      <c r="E22" s="704">
        <v>68000</v>
      </c>
    </row>
    <row r="23" customHeight="1" spans="1:5">
      <c r="A23" s="10">
        <v>17</v>
      </c>
      <c r="B23" s="14" t="s">
        <v>67</v>
      </c>
      <c r="C23" s="17" t="s">
        <v>68</v>
      </c>
      <c r="D23" s="10" t="s">
        <v>504</v>
      </c>
      <c r="E23" s="704">
        <v>68000</v>
      </c>
    </row>
    <row r="24" ht="21.6" customHeight="1" spans="1:5">
      <c r="A24" s="10">
        <v>18</v>
      </c>
      <c r="B24" s="11" t="s">
        <v>70</v>
      </c>
      <c r="C24" s="17" t="s">
        <v>71</v>
      </c>
      <c r="D24" s="15" t="s">
        <v>504</v>
      </c>
      <c r="E24" s="704">
        <v>68000</v>
      </c>
    </row>
    <row r="25" customHeight="1" spans="1:5">
      <c r="A25" s="10">
        <v>19</v>
      </c>
      <c r="B25" s="14" t="s">
        <v>72</v>
      </c>
      <c r="C25" s="17" t="s">
        <v>73</v>
      </c>
      <c r="D25" s="10" t="s">
        <v>80</v>
      </c>
      <c r="E25" s="704">
        <v>68000</v>
      </c>
    </row>
    <row r="26" customHeight="1" spans="1:5">
      <c r="A26" s="10">
        <v>20</v>
      </c>
      <c r="B26" s="14" t="s">
        <v>75</v>
      </c>
      <c r="C26" s="17" t="s">
        <v>76</v>
      </c>
      <c r="D26" s="10" t="s">
        <v>80</v>
      </c>
      <c r="E26" s="704">
        <v>68000</v>
      </c>
    </row>
    <row r="27" ht="18.75" customHeight="1" spans="1:5">
      <c r="A27" s="10">
        <v>21</v>
      </c>
      <c r="B27" s="4" t="s">
        <v>485</v>
      </c>
      <c r="C27" s="4" t="s">
        <v>94</v>
      </c>
      <c r="D27" s="10" t="s">
        <v>88</v>
      </c>
      <c r="E27" s="704">
        <v>54000</v>
      </c>
    </row>
    <row r="28" ht="18.75" customHeight="1" spans="1:5">
      <c r="A28" s="10">
        <v>22</v>
      </c>
      <c r="B28" s="18" t="s">
        <v>78</v>
      </c>
      <c r="C28" s="12" t="s">
        <v>94</v>
      </c>
      <c r="D28" s="15" t="s">
        <v>88</v>
      </c>
      <c r="E28" s="704">
        <v>54000</v>
      </c>
    </row>
    <row r="29" customHeight="1" spans="1:5">
      <c r="A29" s="10">
        <v>23</v>
      </c>
      <c r="B29" s="11" t="s">
        <v>81</v>
      </c>
      <c r="C29" s="17" t="s">
        <v>68</v>
      </c>
      <c r="D29" s="10" t="s">
        <v>88</v>
      </c>
      <c r="E29" s="704">
        <v>54000</v>
      </c>
    </row>
    <row r="30" ht="18.75" customHeight="1" spans="1:5">
      <c r="A30" s="10">
        <v>24</v>
      </c>
      <c r="B30" s="18" t="s">
        <v>83</v>
      </c>
      <c r="C30" s="12" t="s">
        <v>84</v>
      </c>
      <c r="D30" s="15" t="s">
        <v>99</v>
      </c>
      <c r="E30" s="704">
        <v>54000</v>
      </c>
    </row>
    <row r="31" ht="18.75" customHeight="1" spans="1:5">
      <c r="A31" s="10">
        <v>25</v>
      </c>
      <c r="B31" s="18" t="s">
        <v>86</v>
      </c>
      <c r="C31" s="4" t="s">
        <v>87</v>
      </c>
      <c r="D31" s="10" t="s">
        <v>344</v>
      </c>
      <c r="E31" s="704">
        <v>54000</v>
      </c>
    </row>
    <row r="32" ht="18.75" customHeight="1" spans="1:5">
      <c r="A32" s="10">
        <v>26</v>
      </c>
      <c r="B32" s="18" t="s">
        <v>89</v>
      </c>
      <c r="C32" s="4" t="s">
        <v>87</v>
      </c>
      <c r="D32" s="10" t="s">
        <v>344</v>
      </c>
      <c r="E32" s="704">
        <v>54000</v>
      </c>
    </row>
    <row r="33" ht="18.75" customHeight="1" spans="1:5">
      <c r="A33" s="10">
        <v>27</v>
      </c>
      <c r="B33" s="18" t="s">
        <v>91</v>
      </c>
      <c r="C33" s="17" t="s">
        <v>550</v>
      </c>
      <c r="D33" s="15" t="s">
        <v>88</v>
      </c>
      <c r="E33" s="704">
        <v>54000</v>
      </c>
    </row>
    <row r="34" ht="18.75" customHeight="1" spans="1:5">
      <c r="A34" s="10">
        <v>28</v>
      </c>
      <c r="B34" s="18" t="s">
        <v>93</v>
      </c>
      <c r="C34" s="4" t="s">
        <v>94</v>
      </c>
      <c r="D34" s="10" t="s">
        <v>344</v>
      </c>
      <c r="E34" s="704">
        <v>54000</v>
      </c>
    </row>
    <row r="35" ht="18.75" customHeight="1" spans="1:5">
      <c r="A35" s="10">
        <v>29</v>
      </c>
      <c r="B35" s="18" t="s">
        <v>95</v>
      </c>
      <c r="C35" s="4" t="s">
        <v>551</v>
      </c>
      <c r="D35" s="10" t="s">
        <v>344</v>
      </c>
      <c r="E35" s="704">
        <v>54000</v>
      </c>
    </row>
    <row r="36" ht="18.75" customHeight="1" spans="1:5">
      <c r="A36" s="10">
        <v>30</v>
      </c>
      <c r="B36" s="18" t="s">
        <v>103</v>
      </c>
      <c r="C36" s="12" t="s">
        <v>104</v>
      </c>
      <c r="D36" s="15" t="s">
        <v>111</v>
      </c>
      <c r="E36" s="704">
        <v>54000</v>
      </c>
    </row>
    <row r="37" ht="18.75" customHeight="1" spans="1:5">
      <c r="A37" s="10">
        <v>31</v>
      </c>
      <c r="B37" s="18" t="s">
        <v>106</v>
      </c>
      <c r="C37" s="12" t="s">
        <v>107</v>
      </c>
      <c r="D37" s="15" t="s">
        <v>276</v>
      </c>
      <c r="E37" s="704">
        <v>54000</v>
      </c>
    </row>
    <row r="38" ht="26.25" customHeight="1" spans="1:5">
      <c r="A38" s="10"/>
      <c r="B38" s="20" t="s">
        <v>120</v>
      </c>
      <c r="C38" s="21">
        <v>31</v>
      </c>
      <c r="D38" s="15"/>
      <c r="E38" s="707">
        <f>SUM(E7:E37)</f>
        <v>3238000</v>
      </c>
    </row>
    <row r="39" ht="18.75" customHeight="1" spans="1:5">
      <c r="A39" s="10"/>
      <c r="B39" s="22"/>
      <c r="C39" s="4"/>
      <c r="D39" s="15"/>
      <c r="E39" s="707"/>
    </row>
    <row r="40" ht="18.75" customHeight="1" spans="1:5">
      <c r="A40" s="10"/>
      <c r="B40" s="20" t="s">
        <v>121</v>
      </c>
      <c r="C40" s="4"/>
      <c r="D40" s="15"/>
      <c r="E40" s="704"/>
    </row>
    <row r="41" ht="18.75" customHeight="1" spans="1:5">
      <c r="A41" s="10">
        <v>1</v>
      </c>
      <c r="B41" s="18" t="s">
        <v>122</v>
      </c>
      <c r="C41" s="4" t="s">
        <v>123</v>
      </c>
      <c r="D41" s="10" t="s">
        <v>124</v>
      </c>
      <c r="E41" s="704">
        <v>270000</v>
      </c>
    </row>
    <row r="42" ht="18.75" customHeight="1" spans="1:5">
      <c r="A42" s="10">
        <v>2</v>
      </c>
      <c r="B42" s="18" t="s">
        <v>127</v>
      </c>
      <c r="C42" s="4" t="s">
        <v>128</v>
      </c>
      <c r="D42" s="10" t="s">
        <v>80</v>
      </c>
      <c r="E42" s="704">
        <v>68000</v>
      </c>
    </row>
    <row r="43" ht="18.75" customHeight="1" spans="1:5">
      <c r="A43" s="10">
        <v>3</v>
      </c>
      <c r="B43" s="11" t="s">
        <v>129</v>
      </c>
      <c r="C43" s="4" t="s">
        <v>128</v>
      </c>
      <c r="D43" s="15" t="s">
        <v>74</v>
      </c>
      <c r="E43" s="704">
        <v>68000</v>
      </c>
    </row>
    <row r="44" ht="18.75" customHeight="1" spans="1:5">
      <c r="A44" s="10">
        <v>4</v>
      </c>
      <c r="B44" s="11" t="s">
        <v>133</v>
      </c>
      <c r="C44" s="4" t="s">
        <v>134</v>
      </c>
      <c r="D44" s="15" t="s">
        <v>344</v>
      </c>
      <c r="E44" s="706">
        <v>54000</v>
      </c>
    </row>
    <row r="45" ht="19.5" customHeight="1" spans="1:5">
      <c r="A45" s="10"/>
      <c r="B45" s="14"/>
      <c r="C45" s="21">
        <v>4</v>
      </c>
      <c r="D45" s="10"/>
      <c r="E45" s="707">
        <f>SUM(E41:E44)</f>
        <v>460000</v>
      </c>
    </row>
    <row r="46" customHeight="1" spans="1:5">
      <c r="A46" s="10"/>
      <c r="B46" s="14"/>
      <c r="C46" s="4"/>
      <c r="D46" s="10"/>
      <c r="E46" s="707"/>
    </row>
    <row r="47" customHeight="1" spans="1:5">
      <c r="A47" s="10"/>
      <c r="B47" s="23" t="s">
        <v>137</v>
      </c>
      <c r="C47" s="5"/>
      <c r="D47" s="24"/>
      <c r="E47" s="707"/>
    </row>
    <row r="48" customHeight="1" spans="1:5">
      <c r="A48" s="10">
        <v>1</v>
      </c>
      <c r="B48" s="11" t="s">
        <v>837</v>
      </c>
      <c r="C48" s="4" t="s">
        <v>838</v>
      </c>
      <c r="D48" s="10" t="s">
        <v>124</v>
      </c>
      <c r="E48" s="704">
        <v>0</v>
      </c>
    </row>
    <row r="49" customHeight="1" spans="1:5">
      <c r="A49" s="10">
        <v>2</v>
      </c>
      <c r="B49" s="11" t="s">
        <v>839</v>
      </c>
      <c r="C49" s="4" t="s">
        <v>43</v>
      </c>
      <c r="D49" s="10" t="s">
        <v>38</v>
      </c>
      <c r="E49" s="704">
        <v>0</v>
      </c>
    </row>
    <row r="50" customHeight="1" spans="1:5">
      <c r="A50" s="10">
        <v>3</v>
      </c>
      <c r="B50" s="11" t="s">
        <v>138</v>
      </c>
      <c r="C50" s="4" t="s">
        <v>552</v>
      </c>
      <c r="D50" s="10" t="s">
        <v>207</v>
      </c>
      <c r="E50" s="704">
        <v>180000</v>
      </c>
    </row>
    <row r="51" customHeight="1" spans="1:5">
      <c r="A51" s="10">
        <v>4</v>
      </c>
      <c r="B51" s="11" t="s">
        <v>141</v>
      </c>
      <c r="C51" s="4" t="s">
        <v>142</v>
      </c>
      <c r="D51" s="10" t="s">
        <v>38</v>
      </c>
      <c r="E51" s="704">
        <v>126000</v>
      </c>
    </row>
    <row r="52" customHeight="1" spans="1:5">
      <c r="A52" s="10">
        <v>5</v>
      </c>
      <c r="B52" s="11" t="s">
        <v>143</v>
      </c>
      <c r="C52" s="4" t="s">
        <v>142</v>
      </c>
      <c r="D52" s="10" t="s">
        <v>38</v>
      </c>
      <c r="E52" s="704">
        <v>126000</v>
      </c>
    </row>
    <row r="53" customHeight="1" spans="1:5">
      <c r="A53" s="10">
        <v>6</v>
      </c>
      <c r="B53" s="11" t="s">
        <v>144</v>
      </c>
      <c r="C53" s="4" t="s">
        <v>142</v>
      </c>
      <c r="D53" s="10" t="s">
        <v>41</v>
      </c>
      <c r="E53" s="704">
        <v>126000</v>
      </c>
    </row>
    <row r="54" customHeight="1" spans="1:5">
      <c r="A54" s="10">
        <v>7</v>
      </c>
      <c r="B54" s="14" t="s">
        <v>145</v>
      </c>
      <c r="C54" s="4" t="s">
        <v>142</v>
      </c>
      <c r="D54" s="10" t="s">
        <v>41</v>
      </c>
      <c r="E54" s="704">
        <v>126000</v>
      </c>
    </row>
    <row r="55" customHeight="1" spans="1:5">
      <c r="A55" s="10">
        <v>8</v>
      </c>
      <c r="B55" s="11" t="s">
        <v>149</v>
      </c>
      <c r="C55" s="4" t="s">
        <v>150</v>
      </c>
      <c r="D55" s="10" t="s">
        <v>74</v>
      </c>
      <c r="E55" s="704">
        <v>68000</v>
      </c>
    </row>
    <row r="56" customHeight="1" spans="1:5">
      <c r="A56" s="10">
        <v>9</v>
      </c>
      <c r="B56" s="11" t="s">
        <v>153</v>
      </c>
      <c r="C56" s="4" t="s">
        <v>150</v>
      </c>
      <c r="D56" s="10" t="s">
        <v>99</v>
      </c>
      <c r="E56" s="704">
        <v>54000</v>
      </c>
    </row>
    <row r="57" customHeight="1" spans="1:5">
      <c r="A57" s="10">
        <v>10</v>
      </c>
      <c r="B57" s="11" t="s">
        <v>154</v>
      </c>
      <c r="C57" s="4" t="s">
        <v>150</v>
      </c>
      <c r="D57" s="10" t="s">
        <v>99</v>
      </c>
      <c r="E57" s="704">
        <v>54000</v>
      </c>
    </row>
    <row r="58" ht="25.5" customHeight="1" spans="1:5">
      <c r="A58" s="10"/>
      <c r="B58" s="20" t="s">
        <v>120</v>
      </c>
      <c r="C58" s="21">
        <v>10</v>
      </c>
      <c r="D58" s="21"/>
      <c r="E58" s="709">
        <f>SUM(E48:E57)</f>
        <v>860000</v>
      </c>
    </row>
    <row r="59" customHeight="1" spans="1:5">
      <c r="A59" s="10"/>
      <c r="B59" s="22"/>
      <c r="C59" s="21"/>
      <c r="D59" s="21"/>
      <c r="E59" s="711"/>
    </row>
    <row r="60" customHeight="1" spans="1:5">
      <c r="A60" s="10"/>
      <c r="B60" s="20" t="s">
        <v>156</v>
      </c>
      <c r="C60" s="21"/>
      <c r="D60" s="21"/>
      <c r="E60" s="711"/>
    </row>
    <row r="61" customHeight="1" spans="1:5">
      <c r="A61" s="10">
        <v>1</v>
      </c>
      <c r="B61" s="11" t="s">
        <v>841</v>
      </c>
      <c r="C61" s="12" t="s">
        <v>158</v>
      </c>
      <c r="D61" s="15" t="s">
        <v>124</v>
      </c>
      <c r="E61" s="704">
        <v>270000</v>
      </c>
    </row>
    <row r="62" customHeight="1" spans="1:5">
      <c r="A62" s="10">
        <v>2</v>
      </c>
      <c r="B62" s="11" t="s">
        <v>159</v>
      </c>
      <c r="C62" s="12" t="s">
        <v>160</v>
      </c>
      <c r="D62" s="15" t="s">
        <v>161</v>
      </c>
      <c r="E62" s="704">
        <v>126000</v>
      </c>
    </row>
    <row r="63" customHeight="1" spans="1:5">
      <c r="A63" s="10"/>
      <c r="B63" s="20" t="s">
        <v>120</v>
      </c>
      <c r="C63" s="21">
        <v>2</v>
      </c>
      <c r="D63" s="21"/>
      <c r="E63" s="709">
        <f>SUM(E61:E62)</f>
        <v>396000</v>
      </c>
    </row>
    <row r="64" customHeight="1" spans="1:5">
      <c r="A64" s="10"/>
      <c r="B64" s="20"/>
      <c r="C64" s="21"/>
      <c r="D64" s="21"/>
      <c r="E64" s="711"/>
    </row>
    <row r="65" customHeight="1" spans="1:5">
      <c r="A65" s="10"/>
      <c r="B65" s="20" t="s">
        <v>162</v>
      </c>
      <c r="C65" s="21"/>
      <c r="D65" s="21"/>
      <c r="E65" s="711"/>
    </row>
    <row r="66" customHeight="1" spans="1:5">
      <c r="A66" s="10">
        <v>1</v>
      </c>
      <c r="B66" s="11" t="s">
        <v>842</v>
      </c>
      <c r="C66" s="17" t="s">
        <v>843</v>
      </c>
      <c r="D66" s="10" t="s">
        <v>124</v>
      </c>
      <c r="E66" s="704">
        <v>270000</v>
      </c>
    </row>
    <row r="67" customHeight="1" spans="1:5">
      <c r="A67" s="10">
        <v>2</v>
      </c>
      <c r="B67" s="351" t="s">
        <v>844</v>
      </c>
      <c r="C67" s="17" t="s">
        <v>845</v>
      </c>
      <c r="D67" s="15" t="s">
        <v>49</v>
      </c>
      <c r="E67" s="704">
        <v>126000</v>
      </c>
    </row>
    <row r="68" customHeight="1" spans="1:5">
      <c r="A68" s="10">
        <v>3</v>
      </c>
      <c r="B68" s="11" t="s">
        <v>165</v>
      </c>
      <c r="C68" s="4" t="s">
        <v>51</v>
      </c>
      <c r="D68" s="10" t="s">
        <v>52</v>
      </c>
      <c r="E68" s="704">
        <v>90000</v>
      </c>
    </row>
    <row r="69" customHeight="1" spans="1:5">
      <c r="A69" s="10">
        <v>4</v>
      </c>
      <c r="B69" s="18" t="s">
        <v>846</v>
      </c>
      <c r="C69" s="17" t="s">
        <v>167</v>
      </c>
      <c r="D69" s="15" t="s">
        <v>502</v>
      </c>
      <c r="E69" s="704">
        <v>0</v>
      </c>
    </row>
    <row r="70" customHeight="1" spans="1:5">
      <c r="A70" s="10">
        <v>7</v>
      </c>
      <c r="B70" s="11" t="s">
        <v>169</v>
      </c>
      <c r="C70" s="4" t="s">
        <v>150</v>
      </c>
      <c r="D70" s="10" t="s">
        <v>131</v>
      </c>
      <c r="E70" s="704">
        <v>68000</v>
      </c>
    </row>
    <row r="71" customHeight="1" spans="1:5">
      <c r="A71" s="10">
        <v>8</v>
      </c>
      <c r="B71" s="11" t="s">
        <v>171</v>
      </c>
      <c r="C71" s="17" t="s">
        <v>71</v>
      </c>
      <c r="D71" s="10" t="s">
        <v>131</v>
      </c>
      <c r="E71" s="704">
        <v>68000</v>
      </c>
    </row>
    <row r="72" customHeight="1" spans="1:5">
      <c r="A72" s="10">
        <v>9</v>
      </c>
      <c r="B72" s="11" t="s">
        <v>172</v>
      </c>
      <c r="C72" s="17" t="s">
        <v>71</v>
      </c>
      <c r="D72" s="10" t="s">
        <v>131</v>
      </c>
      <c r="E72" s="704">
        <v>68000</v>
      </c>
    </row>
    <row r="73" customHeight="1" spans="1:5">
      <c r="A73" s="10">
        <v>10</v>
      </c>
      <c r="B73" s="11" t="s">
        <v>173</v>
      </c>
      <c r="C73" s="4" t="s">
        <v>553</v>
      </c>
      <c r="D73" s="10" t="s">
        <v>69</v>
      </c>
      <c r="E73" s="704">
        <v>68000</v>
      </c>
    </row>
    <row r="74" ht="21.6" customHeight="1" spans="1:5">
      <c r="A74" s="10">
        <v>11</v>
      </c>
      <c r="B74" s="11" t="s">
        <v>177</v>
      </c>
      <c r="C74" s="4" t="s">
        <v>150</v>
      </c>
      <c r="D74" s="10" t="s">
        <v>74</v>
      </c>
      <c r="E74" s="704">
        <v>68000</v>
      </c>
    </row>
    <row r="75" ht="27" customHeight="1" spans="1:5">
      <c r="A75" s="10"/>
      <c r="B75" s="20" t="s">
        <v>120</v>
      </c>
      <c r="C75" s="21">
        <v>11</v>
      </c>
      <c r="D75" s="21"/>
      <c r="E75" s="709">
        <f>SUM(E66:E74)</f>
        <v>826000</v>
      </c>
    </row>
    <row r="76" customHeight="1" spans="1:5">
      <c r="A76" s="10"/>
      <c r="B76" s="22"/>
      <c r="C76" s="21"/>
      <c r="D76" s="21"/>
      <c r="E76" s="711"/>
    </row>
    <row r="77" customHeight="1" spans="1:5">
      <c r="A77" s="10"/>
      <c r="B77" s="20" t="s">
        <v>180</v>
      </c>
      <c r="C77" s="21"/>
      <c r="D77" s="21"/>
      <c r="E77" s="711"/>
    </row>
    <row r="78" customHeight="1" spans="1:5">
      <c r="A78" s="10">
        <v>1</v>
      </c>
      <c r="B78" s="11" t="s">
        <v>181</v>
      </c>
      <c r="C78" s="4" t="s">
        <v>182</v>
      </c>
      <c r="D78" s="10" t="s">
        <v>124</v>
      </c>
      <c r="E78" s="704">
        <v>270000</v>
      </c>
    </row>
    <row r="79" customHeight="1" spans="1:5">
      <c r="A79" s="10">
        <v>2</v>
      </c>
      <c r="B79" s="11" t="s">
        <v>185</v>
      </c>
      <c r="C79" s="4" t="s">
        <v>186</v>
      </c>
      <c r="D79" s="10" t="s">
        <v>41</v>
      </c>
      <c r="E79" s="704">
        <v>126000</v>
      </c>
    </row>
    <row r="80" customHeight="1" spans="1:5">
      <c r="A80" s="10">
        <v>3</v>
      </c>
      <c r="B80" s="11" t="s">
        <v>187</v>
      </c>
      <c r="C80" s="4" t="s">
        <v>188</v>
      </c>
      <c r="D80" s="15" t="s">
        <v>212</v>
      </c>
      <c r="E80" s="704">
        <v>90000</v>
      </c>
    </row>
    <row r="81" customHeight="1" spans="1:5">
      <c r="A81" s="10">
        <v>4</v>
      </c>
      <c r="B81" s="11" t="s">
        <v>194</v>
      </c>
      <c r="C81" s="4" t="s">
        <v>195</v>
      </c>
      <c r="D81" s="10" t="s">
        <v>504</v>
      </c>
      <c r="E81" s="704">
        <v>68000</v>
      </c>
    </row>
    <row r="82" customHeight="1" spans="1:5">
      <c r="A82" s="10">
        <v>5</v>
      </c>
      <c r="B82" s="11" t="s">
        <v>198</v>
      </c>
      <c r="C82" s="4" t="s">
        <v>179</v>
      </c>
      <c r="D82" s="10" t="s">
        <v>99</v>
      </c>
      <c r="E82" s="704">
        <v>54000</v>
      </c>
    </row>
    <row r="83" customHeight="1" spans="1:5">
      <c r="A83" s="10">
        <v>6</v>
      </c>
      <c r="B83" s="11" t="s">
        <v>200</v>
      </c>
      <c r="C83" s="4" t="s">
        <v>201</v>
      </c>
      <c r="D83" s="10" t="s">
        <v>111</v>
      </c>
      <c r="E83" s="704">
        <v>54000</v>
      </c>
    </row>
    <row r="84" customHeight="1" spans="1:5">
      <c r="A84" s="10"/>
      <c r="B84" s="20" t="s">
        <v>120</v>
      </c>
      <c r="C84" s="21">
        <v>6</v>
      </c>
      <c r="D84" s="21"/>
      <c r="E84" s="709">
        <f>SUM(E78:E83)</f>
        <v>662000</v>
      </c>
    </row>
    <row r="85" customHeight="1" spans="1:5">
      <c r="A85" s="10"/>
      <c r="B85" s="20"/>
      <c r="C85" s="21"/>
      <c r="D85" s="21"/>
      <c r="E85" s="711"/>
    </row>
    <row r="86" customHeight="1" spans="1:5">
      <c r="A86" s="10"/>
      <c r="B86" s="20" t="s">
        <v>202</v>
      </c>
      <c r="C86" s="25"/>
      <c r="D86" s="21"/>
      <c r="E86" s="711"/>
    </row>
    <row r="87" customHeight="1" spans="1:5">
      <c r="A87" s="10">
        <v>1</v>
      </c>
      <c r="B87" s="11" t="s">
        <v>205</v>
      </c>
      <c r="C87" s="4" t="s">
        <v>142</v>
      </c>
      <c r="D87" s="10" t="s">
        <v>38</v>
      </c>
      <c r="E87" s="704">
        <v>126000</v>
      </c>
    </row>
    <row r="88" customHeight="1" spans="1:5">
      <c r="A88" s="10">
        <v>2</v>
      </c>
      <c r="B88" s="11" t="s">
        <v>203</v>
      </c>
      <c r="C88" s="4" t="s">
        <v>142</v>
      </c>
      <c r="D88" s="10" t="s">
        <v>38</v>
      </c>
      <c r="E88" s="704">
        <v>126000</v>
      </c>
    </row>
    <row r="89" customHeight="1" spans="1:5">
      <c r="A89" s="10">
        <v>3</v>
      </c>
      <c r="B89" s="11" t="s">
        <v>208</v>
      </c>
      <c r="C89" s="4" t="s">
        <v>142</v>
      </c>
      <c r="D89" s="10" t="s">
        <v>41</v>
      </c>
      <c r="E89" s="704">
        <v>126000</v>
      </c>
    </row>
    <row r="90" ht="21.6" customHeight="1" spans="1:5">
      <c r="A90" s="10">
        <v>4</v>
      </c>
      <c r="B90" s="11" t="s">
        <v>209</v>
      </c>
      <c r="C90" s="4" t="s">
        <v>51</v>
      </c>
      <c r="D90" s="15" t="s">
        <v>52</v>
      </c>
      <c r="E90" s="704">
        <v>90000</v>
      </c>
    </row>
    <row r="91" ht="21.6" customHeight="1" spans="1:5">
      <c r="A91" s="10">
        <v>5</v>
      </c>
      <c r="B91" s="11" t="s">
        <v>210</v>
      </c>
      <c r="C91" s="4" t="s">
        <v>51</v>
      </c>
      <c r="D91" s="15" t="s">
        <v>52</v>
      </c>
      <c r="E91" s="704">
        <v>90000</v>
      </c>
    </row>
    <row r="92" ht="21.6" customHeight="1" spans="1:5">
      <c r="A92" s="10">
        <v>6</v>
      </c>
      <c r="B92" s="11" t="s">
        <v>211</v>
      </c>
      <c r="C92" s="12" t="s">
        <v>51</v>
      </c>
      <c r="D92" s="15" t="s">
        <v>501</v>
      </c>
      <c r="E92" s="704">
        <v>90000</v>
      </c>
    </row>
    <row r="93" ht="21.6" customHeight="1" spans="1:5">
      <c r="A93" s="10">
        <v>7</v>
      </c>
      <c r="B93" s="11" t="s">
        <v>213</v>
      </c>
      <c r="C93" s="17" t="s">
        <v>71</v>
      </c>
      <c r="D93" s="15" t="s">
        <v>131</v>
      </c>
      <c r="E93" s="704">
        <v>68000</v>
      </c>
    </row>
    <row r="94" ht="21.6" customHeight="1" spans="1:5">
      <c r="A94" s="10">
        <v>8</v>
      </c>
      <c r="B94" s="11" t="s">
        <v>214</v>
      </c>
      <c r="C94" s="17" t="s">
        <v>167</v>
      </c>
      <c r="D94" s="15" t="s">
        <v>66</v>
      </c>
      <c r="E94" s="704">
        <v>90000</v>
      </c>
    </row>
    <row r="95" ht="21.6" customHeight="1" spans="1:5">
      <c r="A95" s="10">
        <v>9</v>
      </c>
      <c r="B95" s="11" t="s">
        <v>217</v>
      </c>
      <c r="C95" s="4" t="s">
        <v>218</v>
      </c>
      <c r="D95" s="10" t="s">
        <v>74</v>
      </c>
      <c r="E95" s="714">
        <v>68000</v>
      </c>
    </row>
    <row r="96" ht="21.6" customHeight="1" spans="1:5">
      <c r="A96" s="10">
        <v>10</v>
      </c>
      <c r="B96" s="11" t="s">
        <v>221</v>
      </c>
      <c r="C96" s="17" t="s">
        <v>222</v>
      </c>
      <c r="D96" s="15" t="s">
        <v>108</v>
      </c>
      <c r="E96" s="714">
        <v>54000</v>
      </c>
    </row>
    <row r="97" customHeight="1" spans="1:5">
      <c r="A97" s="10"/>
      <c r="B97" s="20" t="s">
        <v>120</v>
      </c>
      <c r="C97" s="21">
        <v>10</v>
      </c>
      <c r="D97" s="21"/>
      <c r="E97" s="709">
        <f>SUM(E87:E96)</f>
        <v>928000</v>
      </c>
    </row>
    <row r="98" customHeight="1" spans="1:5">
      <c r="A98" s="10"/>
      <c r="B98" s="22"/>
      <c r="C98" s="21"/>
      <c r="D98" s="21"/>
      <c r="E98" s="711"/>
    </row>
    <row r="99" customHeight="1" spans="1:5">
      <c r="A99" s="10"/>
      <c r="B99" s="20" t="s">
        <v>224</v>
      </c>
      <c r="C99" s="21"/>
      <c r="D99" s="21"/>
      <c r="E99" s="711"/>
    </row>
    <row r="100" customHeight="1" spans="1:5">
      <c r="A100" s="10">
        <v>1</v>
      </c>
      <c r="B100" s="14" t="s">
        <v>225</v>
      </c>
      <c r="C100" s="4" t="s">
        <v>554</v>
      </c>
      <c r="D100" s="16" t="s">
        <v>505</v>
      </c>
      <c r="E100" s="704">
        <v>270000</v>
      </c>
    </row>
    <row r="101" customHeight="1" spans="1:5">
      <c r="A101" s="10">
        <v>2</v>
      </c>
      <c r="B101" s="11" t="s">
        <v>227</v>
      </c>
      <c r="C101" s="4" t="s">
        <v>228</v>
      </c>
      <c r="D101" s="15" t="s">
        <v>212</v>
      </c>
      <c r="E101" s="704">
        <v>90000</v>
      </c>
    </row>
    <row r="102" customHeight="1" spans="1:5">
      <c r="A102" s="10">
        <v>3</v>
      </c>
      <c r="B102" s="11" t="s">
        <v>233</v>
      </c>
      <c r="C102" s="4" t="s">
        <v>555</v>
      </c>
      <c r="D102" s="15" t="s">
        <v>69</v>
      </c>
      <c r="E102" s="704">
        <v>68000</v>
      </c>
    </row>
    <row r="103" customHeight="1" spans="1:5">
      <c r="A103" s="10">
        <v>4</v>
      </c>
      <c r="B103" s="11" t="s">
        <v>234</v>
      </c>
      <c r="C103" s="4" t="s">
        <v>197</v>
      </c>
      <c r="D103" s="15" t="s">
        <v>74</v>
      </c>
      <c r="E103" s="714">
        <v>68000</v>
      </c>
    </row>
    <row r="104" customHeight="1" spans="1:5">
      <c r="A104" s="4"/>
      <c r="B104" s="20" t="s">
        <v>120</v>
      </c>
      <c r="C104" s="21">
        <v>4</v>
      </c>
      <c r="D104" s="26"/>
      <c r="E104" s="709">
        <f>SUM(E100:E103)</f>
        <v>496000</v>
      </c>
    </row>
    <row r="105" customHeight="1" spans="1:5">
      <c r="A105" s="4"/>
      <c r="B105" s="22"/>
      <c r="C105" s="21"/>
      <c r="D105" s="26"/>
      <c r="E105" s="711"/>
    </row>
    <row r="106" customHeight="1" spans="1:5">
      <c r="A106" s="4"/>
      <c r="B106" s="20" t="s">
        <v>237</v>
      </c>
      <c r="C106" s="4"/>
      <c r="D106" s="4"/>
      <c r="E106" s="715"/>
    </row>
    <row r="107" customHeight="1" spans="1:5">
      <c r="A107" s="4">
        <v>1</v>
      </c>
      <c r="B107" s="11" t="s">
        <v>556</v>
      </c>
      <c r="C107" s="12" t="s">
        <v>239</v>
      </c>
      <c r="D107" s="15" t="s">
        <v>124</v>
      </c>
      <c r="E107" s="704">
        <v>270000</v>
      </c>
    </row>
    <row r="108" customHeight="1" spans="1:5">
      <c r="A108" s="4">
        <v>2</v>
      </c>
      <c r="B108" s="11" t="s">
        <v>240</v>
      </c>
      <c r="C108" s="4" t="s">
        <v>241</v>
      </c>
      <c r="D108" s="16" t="s">
        <v>35</v>
      </c>
      <c r="E108" s="704">
        <v>180000</v>
      </c>
    </row>
    <row r="109" customHeight="1" spans="1:5">
      <c r="A109" s="4">
        <v>3</v>
      </c>
      <c r="B109" s="11" t="s">
        <v>242</v>
      </c>
      <c r="C109" s="4" t="s">
        <v>557</v>
      </c>
      <c r="D109" s="10" t="s">
        <v>55</v>
      </c>
      <c r="E109" s="704">
        <v>90000</v>
      </c>
    </row>
    <row r="110" customHeight="1" spans="1:5">
      <c r="A110" s="4">
        <v>4</v>
      </c>
      <c r="B110" s="11" t="s">
        <v>244</v>
      </c>
      <c r="C110" s="4" t="s">
        <v>557</v>
      </c>
      <c r="D110" s="10" t="s">
        <v>55</v>
      </c>
      <c r="E110" s="704">
        <v>90000</v>
      </c>
    </row>
    <row r="111" customHeight="1" spans="1:5">
      <c r="A111" s="4">
        <v>5</v>
      </c>
      <c r="B111" s="11" t="s">
        <v>247</v>
      </c>
      <c r="C111" s="4" t="s">
        <v>248</v>
      </c>
      <c r="D111" s="15" t="s">
        <v>853</v>
      </c>
      <c r="E111" s="714">
        <v>54000</v>
      </c>
    </row>
    <row r="112" customHeight="1" spans="1:5">
      <c r="A112" s="4">
        <v>6</v>
      </c>
      <c r="B112" s="18" t="s">
        <v>250</v>
      </c>
      <c r="C112" s="4" t="s">
        <v>248</v>
      </c>
      <c r="D112" s="10" t="s">
        <v>223</v>
      </c>
      <c r="E112" s="714">
        <v>54000</v>
      </c>
    </row>
    <row r="113" customHeight="1" spans="1:5">
      <c r="A113" s="4">
        <v>7</v>
      </c>
      <c r="B113" s="18" t="s">
        <v>251</v>
      </c>
      <c r="C113" s="4" t="s">
        <v>248</v>
      </c>
      <c r="D113" s="15" t="s">
        <v>108</v>
      </c>
      <c r="E113" s="714">
        <v>54000</v>
      </c>
    </row>
    <row r="114" ht="25.5" customHeight="1" spans="1:5">
      <c r="A114" s="4"/>
      <c r="B114" s="20" t="s">
        <v>120</v>
      </c>
      <c r="C114" s="21">
        <v>7</v>
      </c>
      <c r="D114" s="4"/>
      <c r="E114" s="717">
        <f>SUM(E107:E113)</f>
        <v>792000</v>
      </c>
    </row>
    <row r="115" customHeight="1" spans="1:5">
      <c r="A115" s="4"/>
      <c r="B115" s="20"/>
      <c r="C115" s="21"/>
      <c r="D115" s="4"/>
      <c r="E115" s="717"/>
    </row>
    <row r="116" customHeight="1" spans="1:5">
      <c r="A116" s="10"/>
      <c r="B116" s="20" t="s">
        <v>255</v>
      </c>
      <c r="C116" s="21"/>
      <c r="D116" s="21"/>
      <c r="E116" s="711"/>
    </row>
    <row r="117" customHeight="1" spans="1:5">
      <c r="A117" s="10">
        <v>1</v>
      </c>
      <c r="B117" s="14" t="s">
        <v>163</v>
      </c>
      <c r="C117" s="4" t="s">
        <v>142</v>
      </c>
      <c r="D117" s="10" t="s">
        <v>49</v>
      </c>
      <c r="E117" s="704">
        <v>126000</v>
      </c>
    </row>
    <row r="118" ht="18.75" customHeight="1" spans="1:5">
      <c r="A118" s="10">
        <v>2</v>
      </c>
      <c r="B118" s="11" t="s">
        <v>257</v>
      </c>
      <c r="C118" s="4" t="s">
        <v>258</v>
      </c>
      <c r="D118" s="15" t="s">
        <v>69</v>
      </c>
      <c r="E118" s="704">
        <v>68000</v>
      </c>
    </row>
    <row r="119" customHeight="1" spans="1:5">
      <c r="A119" s="10">
        <v>3</v>
      </c>
      <c r="B119" s="11" t="s">
        <v>190</v>
      </c>
      <c r="C119" s="12" t="s">
        <v>191</v>
      </c>
      <c r="D119" s="15" t="s">
        <v>66</v>
      </c>
      <c r="E119" s="704">
        <v>90000</v>
      </c>
    </row>
    <row r="120" ht="24.75" customHeight="1" spans="1:5">
      <c r="A120" s="4"/>
      <c r="B120" s="20" t="s">
        <v>120</v>
      </c>
      <c r="C120" s="21">
        <v>2</v>
      </c>
      <c r="D120" s="26"/>
      <c r="E120" s="709">
        <f>SUM(E117:E119)</f>
        <v>284000</v>
      </c>
    </row>
    <row r="121" ht="24.75" customHeight="1" spans="1:5">
      <c r="A121" s="4"/>
      <c r="B121" s="20"/>
      <c r="C121" s="21"/>
      <c r="D121" s="26"/>
      <c r="E121" s="709"/>
    </row>
    <row r="122" ht="24.75" customHeight="1" spans="1:5">
      <c r="A122" s="10"/>
      <c r="B122" s="20" t="s">
        <v>267</v>
      </c>
      <c r="C122" s="21"/>
      <c r="D122" s="21"/>
      <c r="E122" s="711"/>
    </row>
    <row r="123" ht="24.75" customHeight="1" spans="1:5">
      <c r="A123" s="10">
        <v>1</v>
      </c>
      <c r="B123" s="14" t="s">
        <v>930</v>
      </c>
      <c r="C123" s="4" t="s">
        <v>931</v>
      </c>
      <c r="D123" s="10" t="s">
        <v>276</v>
      </c>
      <c r="E123" s="704">
        <v>54000</v>
      </c>
    </row>
    <row r="124" ht="24.75" customHeight="1" spans="1:5">
      <c r="A124" s="10">
        <v>2</v>
      </c>
      <c r="B124" s="11" t="s">
        <v>272</v>
      </c>
      <c r="C124" s="4" t="s">
        <v>273</v>
      </c>
      <c r="D124" s="10" t="s">
        <v>276</v>
      </c>
      <c r="E124" s="704">
        <v>54000</v>
      </c>
    </row>
    <row r="125" ht="24.75" customHeight="1" spans="1:5">
      <c r="A125" s="10">
        <v>3</v>
      </c>
      <c r="B125" s="11" t="s">
        <v>277</v>
      </c>
      <c r="C125" s="4" t="s">
        <v>278</v>
      </c>
      <c r="D125" s="10" t="s">
        <v>276</v>
      </c>
      <c r="E125" s="704">
        <v>54000</v>
      </c>
    </row>
    <row r="126" customHeight="1" spans="1:5">
      <c r="A126" s="4"/>
      <c r="B126" s="20" t="s">
        <v>120</v>
      </c>
      <c r="C126" s="21">
        <v>3</v>
      </c>
      <c r="D126" s="26"/>
      <c r="E126" s="709">
        <f>SUM(E123:E125)</f>
        <v>162000</v>
      </c>
    </row>
    <row r="127" customHeight="1" spans="1:5">
      <c r="A127" s="4"/>
      <c r="B127" s="20"/>
      <c r="C127" s="21"/>
      <c r="D127" s="26"/>
      <c r="E127" s="709"/>
    </row>
    <row r="128" customHeight="1" spans="1:5">
      <c r="A128" s="4"/>
      <c r="B128" s="20" t="s">
        <v>279</v>
      </c>
      <c r="C128" s="21"/>
      <c r="D128" s="21"/>
      <c r="E128" s="711"/>
    </row>
    <row r="129" customHeight="1" spans="1:5">
      <c r="A129" s="4">
        <v>1</v>
      </c>
      <c r="B129" s="11" t="s">
        <v>280</v>
      </c>
      <c r="C129" s="12" t="s">
        <v>281</v>
      </c>
      <c r="D129" s="15" t="s">
        <v>124</v>
      </c>
      <c r="E129" s="704">
        <v>270000</v>
      </c>
    </row>
    <row r="130" customHeight="1" spans="1:5">
      <c r="A130" s="4">
        <v>2</v>
      </c>
      <c r="B130" s="11" t="s">
        <v>282</v>
      </c>
      <c r="C130" s="12" t="s">
        <v>558</v>
      </c>
      <c r="D130" s="15" t="s">
        <v>207</v>
      </c>
      <c r="E130" s="704">
        <v>180000</v>
      </c>
    </row>
    <row r="131" customHeight="1" spans="1:5">
      <c r="A131" s="4">
        <v>3</v>
      </c>
      <c r="B131" s="14" t="s">
        <v>284</v>
      </c>
      <c r="C131" s="12" t="s">
        <v>559</v>
      </c>
      <c r="D131" s="15" t="s">
        <v>38</v>
      </c>
      <c r="E131" s="704">
        <v>126000</v>
      </c>
    </row>
    <row r="132" customHeight="1" spans="1:5">
      <c r="A132" s="4">
        <v>4</v>
      </c>
      <c r="B132" s="11" t="s">
        <v>287</v>
      </c>
      <c r="C132" s="12" t="s">
        <v>289</v>
      </c>
      <c r="D132" s="15" t="s">
        <v>46</v>
      </c>
      <c r="E132" s="704">
        <v>90000</v>
      </c>
    </row>
    <row r="133" customHeight="1" spans="1:5">
      <c r="A133" s="4">
        <v>5</v>
      </c>
      <c r="B133" s="11" t="s">
        <v>288</v>
      </c>
      <c r="C133" s="12" t="s">
        <v>560</v>
      </c>
      <c r="D133" s="15" t="s">
        <v>52</v>
      </c>
      <c r="E133" s="704">
        <v>90000</v>
      </c>
    </row>
    <row r="134" customHeight="1" spans="1:5">
      <c r="A134" s="4">
        <v>6</v>
      </c>
      <c r="B134" s="11" t="s">
        <v>290</v>
      </c>
      <c r="C134" s="12" t="s">
        <v>289</v>
      </c>
      <c r="D134" s="15" t="s">
        <v>212</v>
      </c>
      <c r="E134" s="704">
        <v>90000</v>
      </c>
    </row>
    <row r="135" customHeight="1" spans="1:5">
      <c r="A135" s="4">
        <v>7</v>
      </c>
      <c r="B135" s="11" t="s">
        <v>293</v>
      </c>
      <c r="C135" s="12" t="s">
        <v>561</v>
      </c>
      <c r="D135" s="10" t="s">
        <v>88</v>
      </c>
      <c r="E135" s="704">
        <v>54000</v>
      </c>
    </row>
    <row r="136" customHeight="1" spans="1:5">
      <c r="A136" s="4">
        <v>8</v>
      </c>
      <c r="B136" s="18" t="s">
        <v>295</v>
      </c>
      <c r="C136" s="12" t="s">
        <v>296</v>
      </c>
      <c r="D136" s="15" t="s">
        <v>111</v>
      </c>
      <c r="E136" s="704">
        <v>54000</v>
      </c>
    </row>
    <row r="137" customHeight="1" spans="1:5">
      <c r="A137" s="4">
        <v>9</v>
      </c>
      <c r="B137" s="18" t="s">
        <v>297</v>
      </c>
      <c r="C137" s="12" t="s">
        <v>292</v>
      </c>
      <c r="D137" s="15" t="s">
        <v>111</v>
      </c>
      <c r="E137" s="704">
        <v>54000</v>
      </c>
    </row>
    <row r="138" customHeight="1" spans="1:5">
      <c r="A138" s="4">
        <v>10</v>
      </c>
      <c r="B138" s="18" t="s">
        <v>298</v>
      </c>
      <c r="C138" s="12" t="s">
        <v>296</v>
      </c>
      <c r="D138" s="15" t="s">
        <v>276</v>
      </c>
      <c r="E138" s="704">
        <v>54000</v>
      </c>
    </row>
    <row r="139" ht="28.5" customHeight="1" spans="1:5">
      <c r="A139" s="4"/>
      <c r="B139" s="20" t="s">
        <v>120</v>
      </c>
      <c r="C139" s="26" t="s">
        <v>562</v>
      </c>
      <c r="D139" s="15"/>
      <c r="E139" s="711">
        <f>SUM(E129:E138)</f>
        <v>1062000</v>
      </c>
    </row>
    <row r="140" customHeight="1" spans="1:5">
      <c r="A140" s="4"/>
      <c r="B140" s="22"/>
      <c r="C140" s="26"/>
      <c r="D140" s="15"/>
      <c r="E140" s="711"/>
    </row>
    <row r="141" customHeight="1" spans="1:5">
      <c r="A141" s="4"/>
      <c r="B141" s="20" t="s">
        <v>300</v>
      </c>
      <c r="C141" s="12"/>
      <c r="D141" s="15"/>
      <c r="E141" s="704"/>
    </row>
    <row r="142" customHeight="1" spans="1:5">
      <c r="A142" s="27">
        <v>1</v>
      </c>
      <c r="B142" s="11" t="s">
        <v>856</v>
      </c>
      <c r="C142" s="12" t="s">
        <v>857</v>
      </c>
      <c r="D142" s="15" t="s">
        <v>124</v>
      </c>
      <c r="E142" s="704">
        <v>270000</v>
      </c>
    </row>
    <row r="143" customHeight="1" spans="1:5">
      <c r="A143" s="27">
        <v>2</v>
      </c>
      <c r="B143" s="14" t="s">
        <v>304</v>
      </c>
      <c r="C143" s="4" t="s">
        <v>305</v>
      </c>
      <c r="D143" s="16" t="s">
        <v>35</v>
      </c>
      <c r="E143" s="704">
        <v>180000</v>
      </c>
    </row>
    <row r="144" customHeight="1" spans="1:5">
      <c r="A144" s="27">
        <v>3</v>
      </c>
      <c r="B144" s="11" t="s">
        <v>306</v>
      </c>
      <c r="C144" s="12" t="s">
        <v>307</v>
      </c>
      <c r="D144" s="15" t="s">
        <v>41</v>
      </c>
      <c r="E144" s="704">
        <v>126000</v>
      </c>
    </row>
    <row r="145" customHeight="1" spans="1:5">
      <c r="A145" s="27">
        <v>4</v>
      </c>
      <c r="B145" s="11" t="s">
        <v>308</v>
      </c>
      <c r="C145" s="4" t="s">
        <v>309</v>
      </c>
      <c r="D145" s="15" t="s">
        <v>41</v>
      </c>
      <c r="E145" s="704">
        <v>126000</v>
      </c>
    </row>
    <row r="146" customHeight="1" spans="1:5">
      <c r="A146" s="27">
        <v>5</v>
      </c>
      <c r="B146" s="11" t="s">
        <v>310</v>
      </c>
      <c r="C146" s="4" t="s">
        <v>309</v>
      </c>
      <c r="D146" s="15" t="s">
        <v>41</v>
      </c>
      <c r="E146" s="704">
        <v>126000</v>
      </c>
    </row>
    <row r="147" customHeight="1" spans="1:5">
      <c r="A147" s="27">
        <v>6</v>
      </c>
      <c r="B147" s="11" t="s">
        <v>229</v>
      </c>
      <c r="C147" s="12" t="s">
        <v>230</v>
      </c>
      <c r="D147" s="15" t="s">
        <v>66</v>
      </c>
      <c r="E147" s="704">
        <v>90000</v>
      </c>
    </row>
    <row r="148" customHeight="1" spans="1:5">
      <c r="A148" s="27">
        <v>7</v>
      </c>
      <c r="B148" s="11" t="s">
        <v>313</v>
      </c>
      <c r="C148" s="12" t="s">
        <v>230</v>
      </c>
      <c r="D148" s="15" t="s">
        <v>66</v>
      </c>
      <c r="E148" s="704">
        <v>90000</v>
      </c>
    </row>
    <row r="149" customHeight="1" spans="1:5">
      <c r="A149" s="27">
        <v>8</v>
      </c>
      <c r="B149" s="11" t="s">
        <v>314</v>
      </c>
      <c r="C149" s="4" t="s">
        <v>563</v>
      </c>
      <c r="D149" s="15" t="s">
        <v>66</v>
      </c>
      <c r="E149" s="704">
        <v>90000</v>
      </c>
    </row>
    <row r="150" customHeight="1" spans="1:5">
      <c r="A150" s="27">
        <v>9</v>
      </c>
      <c r="B150" s="11" t="s">
        <v>316</v>
      </c>
      <c r="C150" s="12" t="s">
        <v>564</v>
      </c>
      <c r="D150" s="15" t="s">
        <v>69</v>
      </c>
      <c r="E150" s="704">
        <v>68000</v>
      </c>
    </row>
    <row r="151" customHeight="1" spans="1:5">
      <c r="A151" s="27">
        <v>10</v>
      </c>
      <c r="B151" s="11" t="s">
        <v>318</v>
      </c>
      <c r="C151" s="12" t="s">
        <v>319</v>
      </c>
      <c r="D151" s="15" t="s">
        <v>131</v>
      </c>
      <c r="E151" s="704">
        <v>68000</v>
      </c>
    </row>
    <row r="152" customHeight="1" spans="1:5">
      <c r="A152" s="27">
        <v>11</v>
      </c>
      <c r="B152" s="11" t="s">
        <v>61</v>
      </c>
      <c r="C152" s="12" t="s">
        <v>863</v>
      </c>
      <c r="D152" s="15" t="s">
        <v>170</v>
      </c>
      <c r="E152" s="704">
        <v>68000</v>
      </c>
    </row>
    <row r="153" customHeight="1" spans="1:5">
      <c r="A153" s="27">
        <v>12</v>
      </c>
      <c r="B153" s="18" t="s">
        <v>320</v>
      </c>
      <c r="C153" s="4" t="s">
        <v>321</v>
      </c>
      <c r="D153" s="15" t="s">
        <v>504</v>
      </c>
      <c r="E153" s="704">
        <v>68000</v>
      </c>
    </row>
    <row r="154" customHeight="1" spans="1:5">
      <c r="A154" s="27">
        <v>13</v>
      </c>
      <c r="B154" s="11" t="s">
        <v>322</v>
      </c>
      <c r="C154" s="4" t="s">
        <v>321</v>
      </c>
      <c r="D154" s="15" t="s">
        <v>504</v>
      </c>
      <c r="E154" s="704">
        <v>68000</v>
      </c>
    </row>
    <row r="155" customHeight="1" spans="1:5">
      <c r="A155" s="27">
        <v>14</v>
      </c>
      <c r="B155" s="11" t="s">
        <v>323</v>
      </c>
      <c r="C155" s="4" t="s">
        <v>321</v>
      </c>
      <c r="D155" s="15" t="s">
        <v>504</v>
      </c>
      <c r="E155" s="704">
        <v>68000</v>
      </c>
    </row>
    <row r="156" customHeight="1" spans="1:5">
      <c r="A156" s="27">
        <v>15</v>
      </c>
      <c r="B156" s="11" t="s">
        <v>325</v>
      </c>
      <c r="C156" s="4" t="s">
        <v>321</v>
      </c>
      <c r="D156" s="15" t="s">
        <v>504</v>
      </c>
      <c r="E156" s="704">
        <v>68000</v>
      </c>
    </row>
    <row r="157" customHeight="1" spans="1:5">
      <c r="A157" s="27">
        <v>16</v>
      </c>
      <c r="B157" s="11" t="s">
        <v>326</v>
      </c>
      <c r="C157" s="12" t="s">
        <v>327</v>
      </c>
      <c r="D157" s="15" t="s">
        <v>74</v>
      </c>
      <c r="E157" s="704">
        <v>68000</v>
      </c>
    </row>
    <row r="158" customHeight="1" spans="1:5">
      <c r="A158" s="27">
        <v>17</v>
      </c>
      <c r="B158" s="11" t="s">
        <v>328</v>
      </c>
      <c r="C158" s="12" t="s">
        <v>329</v>
      </c>
      <c r="D158" s="10" t="s">
        <v>99</v>
      </c>
      <c r="E158" s="704">
        <v>54000</v>
      </c>
    </row>
    <row r="159" customHeight="1" spans="1:5">
      <c r="A159" s="27">
        <v>18</v>
      </c>
      <c r="B159" s="11" t="s">
        <v>330</v>
      </c>
      <c r="C159" s="12" t="s">
        <v>565</v>
      </c>
      <c r="D159" s="15" t="s">
        <v>77</v>
      </c>
      <c r="E159" s="714">
        <v>68000</v>
      </c>
    </row>
    <row r="160" customHeight="1" spans="1:5">
      <c r="A160" s="27">
        <v>19</v>
      </c>
      <c r="B160" s="11" t="s">
        <v>332</v>
      </c>
      <c r="C160" s="12" t="s">
        <v>566</v>
      </c>
      <c r="D160" s="15" t="s">
        <v>88</v>
      </c>
      <c r="E160" s="714">
        <v>54000</v>
      </c>
    </row>
    <row r="161" customHeight="1" spans="1:5">
      <c r="A161" s="27">
        <v>20</v>
      </c>
      <c r="B161" s="11" t="s">
        <v>334</v>
      </c>
      <c r="C161" s="12" t="s">
        <v>567</v>
      </c>
      <c r="D161" s="15" t="s">
        <v>77</v>
      </c>
      <c r="E161" s="714">
        <v>68000</v>
      </c>
    </row>
    <row r="162" customHeight="1" spans="1:5">
      <c r="A162" s="27">
        <v>21</v>
      </c>
      <c r="B162" s="11" t="s">
        <v>335</v>
      </c>
      <c r="C162" s="12" t="s">
        <v>568</v>
      </c>
      <c r="D162" s="15" t="s">
        <v>88</v>
      </c>
      <c r="E162" s="714">
        <v>54000</v>
      </c>
    </row>
    <row r="163" customHeight="1" spans="1:5">
      <c r="A163" s="27">
        <v>22</v>
      </c>
      <c r="B163" s="18" t="s">
        <v>337</v>
      </c>
      <c r="C163" s="12" t="s">
        <v>338</v>
      </c>
      <c r="D163" s="15" t="s">
        <v>344</v>
      </c>
      <c r="E163" s="714">
        <v>54000</v>
      </c>
    </row>
    <row r="164" customHeight="1" spans="1:5">
      <c r="A164" s="27">
        <v>23</v>
      </c>
      <c r="B164" s="18" t="s">
        <v>339</v>
      </c>
      <c r="C164" s="12" t="s">
        <v>338</v>
      </c>
      <c r="D164" s="15" t="s">
        <v>344</v>
      </c>
      <c r="E164" s="714">
        <v>54000</v>
      </c>
    </row>
    <row r="165" customHeight="1" spans="1:5">
      <c r="A165" s="27">
        <v>24</v>
      </c>
      <c r="B165" s="18" t="s">
        <v>345</v>
      </c>
      <c r="C165" s="12" t="s">
        <v>346</v>
      </c>
      <c r="D165" s="15" t="s">
        <v>111</v>
      </c>
      <c r="E165" s="714">
        <v>54000</v>
      </c>
    </row>
    <row r="166" customHeight="1" spans="1:5">
      <c r="A166" s="27">
        <v>25</v>
      </c>
      <c r="B166" s="18" t="s">
        <v>347</v>
      </c>
      <c r="C166" s="12" t="s">
        <v>348</v>
      </c>
      <c r="D166" s="15" t="s">
        <v>111</v>
      </c>
      <c r="E166" s="714">
        <v>54000</v>
      </c>
    </row>
    <row r="167" customHeight="1" spans="1:5">
      <c r="A167" s="27">
        <v>26</v>
      </c>
      <c r="B167" s="18" t="s">
        <v>349</v>
      </c>
      <c r="C167" s="12" t="s">
        <v>350</v>
      </c>
      <c r="D167" s="15" t="s">
        <v>111</v>
      </c>
      <c r="E167" s="714">
        <v>54000</v>
      </c>
    </row>
    <row r="168" customHeight="1" spans="1:5">
      <c r="A168" s="27">
        <v>27</v>
      </c>
      <c r="B168" s="18" t="s">
        <v>351</v>
      </c>
      <c r="C168" s="12" t="s">
        <v>569</v>
      </c>
      <c r="D168" s="15" t="s">
        <v>108</v>
      </c>
      <c r="E168" s="714">
        <v>54000</v>
      </c>
    </row>
    <row r="169" customHeight="1" spans="1:5">
      <c r="A169" s="27">
        <v>28</v>
      </c>
      <c r="B169" s="18" t="s">
        <v>352</v>
      </c>
      <c r="C169" s="12" t="s">
        <v>348</v>
      </c>
      <c r="D169" s="15" t="s">
        <v>111</v>
      </c>
      <c r="E169" s="714">
        <v>54000</v>
      </c>
    </row>
    <row r="170" customHeight="1" spans="1:5">
      <c r="A170" s="27">
        <v>29</v>
      </c>
      <c r="B170" s="18" t="s">
        <v>353</v>
      </c>
      <c r="C170" s="12" t="s">
        <v>354</v>
      </c>
      <c r="D170" s="15" t="s">
        <v>276</v>
      </c>
      <c r="E170" s="714">
        <v>54000</v>
      </c>
    </row>
    <row r="171" customHeight="1" spans="1:5">
      <c r="A171" s="27">
        <v>30</v>
      </c>
      <c r="B171" s="18" t="s">
        <v>355</v>
      </c>
      <c r="C171" s="12" t="s">
        <v>354</v>
      </c>
      <c r="D171" s="15" t="s">
        <v>276</v>
      </c>
      <c r="E171" s="714">
        <v>54000</v>
      </c>
    </row>
    <row r="172" customHeight="1" spans="1:5">
      <c r="A172" s="27">
        <v>31</v>
      </c>
      <c r="B172" s="11" t="s">
        <v>361</v>
      </c>
      <c r="C172" s="12" t="s">
        <v>362</v>
      </c>
      <c r="D172" s="15" t="s">
        <v>388</v>
      </c>
      <c r="E172" s="714">
        <v>36000</v>
      </c>
    </row>
    <row r="173" customHeight="1" spans="1:5">
      <c r="A173" s="27">
        <v>32</v>
      </c>
      <c r="B173" s="11" t="s">
        <v>364</v>
      </c>
      <c r="C173" s="12" t="s">
        <v>362</v>
      </c>
      <c r="D173" s="15" t="s">
        <v>388</v>
      </c>
      <c r="E173" s="714">
        <v>36000</v>
      </c>
    </row>
    <row r="174" customHeight="1" spans="1:5">
      <c r="A174" s="27">
        <v>33</v>
      </c>
      <c r="B174" s="11" t="s">
        <v>570</v>
      </c>
      <c r="C174" s="12" t="s">
        <v>362</v>
      </c>
      <c r="D174" s="15" t="s">
        <v>388</v>
      </c>
      <c r="E174" s="714">
        <v>36000</v>
      </c>
    </row>
    <row r="175" customHeight="1" spans="1:5">
      <c r="A175" s="27">
        <v>34</v>
      </c>
      <c r="B175" s="11" t="s">
        <v>365</v>
      </c>
      <c r="C175" s="12" t="s">
        <v>362</v>
      </c>
      <c r="D175" s="15" t="s">
        <v>388</v>
      </c>
      <c r="E175" s="714">
        <v>36000</v>
      </c>
    </row>
    <row r="176" customHeight="1" spans="1:5">
      <c r="A176" s="27">
        <v>35</v>
      </c>
      <c r="B176" s="11" t="s">
        <v>366</v>
      </c>
      <c r="C176" s="12" t="s">
        <v>362</v>
      </c>
      <c r="D176" s="15" t="s">
        <v>388</v>
      </c>
      <c r="E176" s="714">
        <v>36000</v>
      </c>
    </row>
    <row r="177" customHeight="1" spans="1:5">
      <c r="A177" s="27">
        <v>36</v>
      </c>
      <c r="B177" s="11" t="s">
        <v>367</v>
      </c>
      <c r="C177" s="12" t="s">
        <v>362</v>
      </c>
      <c r="D177" s="15" t="s">
        <v>381</v>
      </c>
      <c r="E177" s="714">
        <v>36000</v>
      </c>
    </row>
    <row r="178" customHeight="1" spans="1:5">
      <c r="A178" s="27">
        <v>37</v>
      </c>
      <c r="B178" s="11" t="s">
        <v>369</v>
      </c>
      <c r="C178" s="12" t="s">
        <v>362</v>
      </c>
      <c r="D178" s="15" t="s">
        <v>381</v>
      </c>
      <c r="E178" s="714">
        <v>36000</v>
      </c>
    </row>
    <row r="179" customHeight="1" spans="1:5">
      <c r="A179" s="27">
        <v>38</v>
      </c>
      <c r="B179" s="14" t="s">
        <v>370</v>
      </c>
      <c r="C179" s="12" t="s">
        <v>362</v>
      </c>
      <c r="D179" s="15" t="s">
        <v>381</v>
      </c>
      <c r="E179" s="714">
        <v>36000</v>
      </c>
    </row>
    <row r="180" customHeight="1" spans="1:5">
      <c r="A180" s="27">
        <v>39</v>
      </c>
      <c r="B180" s="11" t="s">
        <v>371</v>
      </c>
      <c r="C180" s="12" t="s">
        <v>362</v>
      </c>
      <c r="D180" s="15" t="s">
        <v>381</v>
      </c>
      <c r="E180" s="714">
        <v>36000</v>
      </c>
    </row>
    <row r="181" customHeight="1" spans="1:5">
      <c r="A181" s="27">
        <v>40</v>
      </c>
      <c r="B181" s="18" t="s">
        <v>372</v>
      </c>
      <c r="C181" s="12" t="s">
        <v>362</v>
      </c>
      <c r="D181" s="15" t="s">
        <v>381</v>
      </c>
      <c r="E181" s="714">
        <v>36000</v>
      </c>
    </row>
    <row r="182" customHeight="1" spans="1:5">
      <c r="A182" s="27">
        <v>41</v>
      </c>
      <c r="B182" s="18" t="s">
        <v>359</v>
      </c>
      <c r="C182" s="12" t="s">
        <v>362</v>
      </c>
      <c r="D182" s="15" t="s">
        <v>381</v>
      </c>
      <c r="E182" s="714">
        <v>36000</v>
      </c>
    </row>
    <row r="183" customHeight="1" spans="1:5">
      <c r="A183" s="27">
        <v>42</v>
      </c>
      <c r="B183" s="11" t="s">
        <v>373</v>
      </c>
      <c r="C183" s="12" t="s">
        <v>374</v>
      </c>
      <c r="D183" s="15" t="s">
        <v>511</v>
      </c>
      <c r="E183" s="714">
        <v>36000</v>
      </c>
    </row>
    <row r="184" customHeight="1" spans="1:5">
      <c r="A184" s="27">
        <v>43</v>
      </c>
      <c r="B184" s="11" t="s">
        <v>376</v>
      </c>
      <c r="C184" s="12" t="s">
        <v>374</v>
      </c>
      <c r="D184" s="15" t="s">
        <v>511</v>
      </c>
      <c r="E184" s="714">
        <v>36000</v>
      </c>
    </row>
    <row r="185" customHeight="1" spans="1:5">
      <c r="A185" s="27">
        <v>44</v>
      </c>
      <c r="B185" s="18" t="s">
        <v>377</v>
      </c>
      <c r="C185" s="12" t="s">
        <v>374</v>
      </c>
      <c r="D185" s="15" t="s">
        <v>510</v>
      </c>
      <c r="E185" s="714">
        <v>36000</v>
      </c>
    </row>
    <row r="186" customHeight="1" spans="1:5">
      <c r="A186" s="27">
        <v>45</v>
      </c>
      <c r="B186" s="11" t="s">
        <v>379</v>
      </c>
      <c r="C186" s="12" t="s">
        <v>374</v>
      </c>
      <c r="D186" s="15" t="s">
        <v>511</v>
      </c>
      <c r="E186" s="714">
        <v>36000</v>
      </c>
    </row>
    <row r="187" customHeight="1" spans="1:5">
      <c r="A187" s="27">
        <v>46</v>
      </c>
      <c r="B187" s="11" t="s">
        <v>382</v>
      </c>
      <c r="C187" s="12" t="s">
        <v>390</v>
      </c>
      <c r="D187" s="15" t="s">
        <v>573</v>
      </c>
      <c r="E187" s="714">
        <v>36000</v>
      </c>
    </row>
    <row r="188" customHeight="1" spans="1:5">
      <c r="A188" s="27">
        <v>47</v>
      </c>
      <c r="B188" s="11" t="s">
        <v>383</v>
      </c>
      <c r="C188" s="12" t="s">
        <v>390</v>
      </c>
      <c r="D188" s="15" t="s">
        <v>573</v>
      </c>
      <c r="E188" s="714">
        <v>36000</v>
      </c>
    </row>
    <row r="189" customHeight="1" spans="1:5">
      <c r="A189" s="27">
        <v>48</v>
      </c>
      <c r="B189" s="11" t="s">
        <v>384</v>
      </c>
      <c r="C189" s="12" t="s">
        <v>390</v>
      </c>
      <c r="D189" s="15" t="s">
        <v>573</v>
      </c>
      <c r="E189" s="714">
        <v>36000</v>
      </c>
    </row>
    <row r="190" customHeight="1" spans="1:5">
      <c r="A190" s="27">
        <v>49</v>
      </c>
      <c r="B190" s="11" t="s">
        <v>385</v>
      </c>
      <c r="C190" s="12" t="s">
        <v>390</v>
      </c>
      <c r="D190" s="15" t="s">
        <v>573</v>
      </c>
      <c r="E190" s="714">
        <v>36000</v>
      </c>
    </row>
    <row r="191" customHeight="1" spans="1:5">
      <c r="A191" s="27">
        <v>50</v>
      </c>
      <c r="B191" s="11" t="s">
        <v>386</v>
      </c>
      <c r="C191" s="12" t="s">
        <v>390</v>
      </c>
      <c r="D191" s="15" t="s">
        <v>573</v>
      </c>
      <c r="E191" s="714">
        <v>36000</v>
      </c>
    </row>
    <row r="192" customHeight="1" spans="1:5">
      <c r="A192" s="27">
        <v>51</v>
      </c>
      <c r="B192" s="18" t="s">
        <v>387</v>
      </c>
      <c r="C192" s="12" t="s">
        <v>390</v>
      </c>
      <c r="D192" s="15" t="s">
        <v>573</v>
      </c>
      <c r="E192" s="714">
        <v>36000</v>
      </c>
    </row>
    <row r="193" customHeight="1" spans="1:5">
      <c r="A193" s="27">
        <v>52</v>
      </c>
      <c r="B193" s="18" t="s">
        <v>389</v>
      </c>
      <c r="C193" s="12" t="s">
        <v>390</v>
      </c>
      <c r="D193" s="15" t="s">
        <v>573</v>
      </c>
      <c r="E193" s="714">
        <v>36000</v>
      </c>
    </row>
    <row r="194" customHeight="1" spans="1:5">
      <c r="A194" s="27">
        <v>53</v>
      </c>
      <c r="B194" s="11" t="s">
        <v>572</v>
      </c>
      <c r="C194" s="12" t="s">
        <v>393</v>
      </c>
      <c r="D194" s="15" t="s">
        <v>573</v>
      </c>
      <c r="E194" s="714">
        <v>36000</v>
      </c>
    </row>
    <row r="195" customHeight="1" spans="1:5">
      <c r="A195" s="27">
        <v>54</v>
      </c>
      <c r="B195" s="11" t="s">
        <v>392</v>
      </c>
      <c r="C195" s="12" t="s">
        <v>393</v>
      </c>
      <c r="D195" s="15" t="s">
        <v>573</v>
      </c>
      <c r="E195" s="714">
        <v>36000</v>
      </c>
    </row>
    <row r="196" customHeight="1" spans="1:5">
      <c r="A196" s="27">
        <v>55</v>
      </c>
      <c r="B196" s="18" t="s">
        <v>360</v>
      </c>
      <c r="C196" s="12" t="s">
        <v>395</v>
      </c>
      <c r="D196" s="15" t="s">
        <v>396</v>
      </c>
      <c r="E196" s="714">
        <v>36000</v>
      </c>
    </row>
    <row r="197" customHeight="1" spans="1:5">
      <c r="A197" s="27">
        <v>56</v>
      </c>
      <c r="B197" s="18" t="s">
        <v>394</v>
      </c>
      <c r="C197" s="12" t="s">
        <v>395</v>
      </c>
      <c r="D197" s="15" t="s">
        <v>400</v>
      </c>
      <c r="E197" s="714">
        <v>36000</v>
      </c>
    </row>
    <row r="198" customHeight="1" spans="1:5">
      <c r="A198" s="27">
        <v>57</v>
      </c>
      <c r="B198" s="18" t="s">
        <v>397</v>
      </c>
      <c r="C198" s="12" t="s">
        <v>374</v>
      </c>
      <c r="D198" s="15" t="s">
        <v>511</v>
      </c>
      <c r="E198" s="714">
        <v>36000</v>
      </c>
    </row>
    <row r="199" customHeight="1" spans="1:5">
      <c r="A199" s="27">
        <v>58</v>
      </c>
      <c r="B199" s="18" t="s">
        <v>401</v>
      </c>
      <c r="C199" s="12" t="s">
        <v>402</v>
      </c>
      <c r="D199" s="15" t="s">
        <v>865</v>
      </c>
      <c r="E199" s="714">
        <v>36000</v>
      </c>
    </row>
    <row r="200" customHeight="1" spans="1:5">
      <c r="A200" s="27">
        <v>59</v>
      </c>
      <c r="B200" s="18" t="s">
        <v>404</v>
      </c>
      <c r="C200" s="12" t="s">
        <v>402</v>
      </c>
      <c r="D200" s="15" t="s">
        <v>865</v>
      </c>
      <c r="E200" s="714">
        <v>36000</v>
      </c>
    </row>
    <row r="201" customHeight="1" spans="1:5">
      <c r="A201" s="27">
        <v>60</v>
      </c>
      <c r="B201" s="18" t="s">
        <v>405</v>
      </c>
      <c r="C201" s="12" t="s">
        <v>402</v>
      </c>
      <c r="D201" s="15" t="s">
        <v>865</v>
      </c>
      <c r="E201" s="714">
        <v>36000</v>
      </c>
    </row>
    <row r="202" customHeight="1" spans="1:5">
      <c r="A202" s="27">
        <v>61</v>
      </c>
      <c r="B202" s="18" t="s">
        <v>406</v>
      </c>
      <c r="C202" s="12" t="s">
        <v>407</v>
      </c>
      <c r="D202" s="15" t="s">
        <v>398</v>
      </c>
      <c r="E202" s="714">
        <v>36000</v>
      </c>
    </row>
    <row r="203" customHeight="1" spans="1:5">
      <c r="A203" s="27">
        <v>62</v>
      </c>
      <c r="B203" s="18" t="s">
        <v>409</v>
      </c>
      <c r="C203" s="12" t="s">
        <v>407</v>
      </c>
      <c r="D203" s="15" t="s">
        <v>398</v>
      </c>
      <c r="E203" s="714">
        <v>36000</v>
      </c>
    </row>
    <row r="204" ht="30.75" customHeight="1" spans="1:5">
      <c r="A204" s="27"/>
      <c r="B204" s="8" t="s">
        <v>120</v>
      </c>
      <c r="C204" s="28" t="s">
        <v>993</v>
      </c>
      <c r="D204" s="29"/>
      <c r="E204" s="709">
        <f>SUM(E142:E203)</f>
        <v>3578000</v>
      </c>
    </row>
    <row r="205" ht="33.95" customHeight="1" spans="1:5">
      <c r="A205" s="4"/>
      <c r="B205" s="30" t="s">
        <v>411</v>
      </c>
      <c r="C205" s="31">
        <f>C38+C45+C58+C63+C75+C84+C97+C104+C114+C126+C139+C204</f>
        <v>160</v>
      </c>
      <c r="D205" s="32"/>
      <c r="E205" s="719">
        <f>E204+E139+E126+E120+E114+E104+E97+E84+E75+E63+E58+E45+E38</f>
        <v>13744000</v>
      </c>
    </row>
    <row r="206" ht="38.25" customHeight="1" spans="2:5">
      <c r="B206" s="33"/>
      <c r="D206" s="34"/>
      <c r="E206" s="34"/>
    </row>
    <row r="207" ht="36.75" customHeight="1" spans="2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21" t="s">
        <v>994</v>
      </c>
      <c r="B1" s="721"/>
      <c r="C1" s="721"/>
    </row>
    <row r="2" ht="23.1" customHeight="1" spans="1:3">
      <c r="A2" s="722">
        <v>1</v>
      </c>
      <c r="B2" s="722" t="s">
        <v>599</v>
      </c>
      <c r="C2" s="610">
        <f>'Christmas Welfare 2024'!E205</f>
        <v>13744000</v>
      </c>
    </row>
    <row r="3" ht="23.1" customHeight="1" spans="1:3">
      <c r="A3" s="722">
        <v>2</v>
      </c>
      <c r="B3" s="722" t="s">
        <v>935</v>
      </c>
      <c r="C3" s="610">
        <f>'[4]Christmas 2024'!$E$58</f>
        <v>1470000</v>
      </c>
    </row>
    <row r="4" ht="23.1" customHeight="1" spans="1:3">
      <c r="A4" s="722">
        <v>3</v>
      </c>
      <c r="B4" s="722" t="s">
        <v>600</v>
      </c>
      <c r="C4" s="610">
        <f>'[5]WELFARE CONTRACT '!$E$21</f>
        <v>1692000</v>
      </c>
    </row>
    <row r="5" ht="23.1" customHeight="1" spans="1:3">
      <c r="A5" s="722">
        <v>4</v>
      </c>
      <c r="B5" s="722" t="s">
        <v>936</v>
      </c>
      <c r="C5" s="610">
        <f>'[5]NEW CONTR WELFARE'!$E$31</f>
        <v>1676000</v>
      </c>
    </row>
    <row r="6" ht="23.1" customHeight="1" spans="1:3">
      <c r="A6" s="722">
        <v>5</v>
      </c>
      <c r="B6" s="722" t="s">
        <v>601</v>
      </c>
      <c r="C6" s="610">
        <f>'[5]WELFARE CAS. SABB. NYSC'!$D$68</f>
        <v>2259000</v>
      </c>
    </row>
    <row r="7" ht="23.1" customHeight="1" spans="1:3">
      <c r="A7" s="722">
        <v>6</v>
      </c>
      <c r="B7" s="722" t="s">
        <v>602</v>
      </c>
      <c r="C7" s="610">
        <f>'[5]WELFARE CONSULTANCY'!$D$30</f>
        <v>1656000</v>
      </c>
    </row>
    <row r="8" ht="23.1" customHeight="1" spans="1:3">
      <c r="A8" s="722">
        <v>7</v>
      </c>
      <c r="B8" s="722" t="s">
        <v>603</v>
      </c>
      <c r="C8" s="610">
        <f>'[5]WELFARE - OTHERS'!$C$95</f>
        <v>1555000</v>
      </c>
    </row>
    <row r="9" ht="23.1" customHeight="1" spans="1:3">
      <c r="A9" s="722"/>
      <c r="B9" s="265" t="s">
        <v>604</v>
      </c>
      <c r="C9" s="72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995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9" t="s">
        <v>9</v>
      </c>
      <c r="F4" s="700" t="s">
        <v>996</v>
      </c>
    </row>
    <row r="5" ht="17.25" customHeight="1" spans="3:6">
      <c r="C5" s="8"/>
      <c r="D5" s="8"/>
      <c r="E5" s="701" t="s">
        <v>20</v>
      </c>
      <c r="F5" s="702" t="s">
        <v>20</v>
      </c>
    </row>
    <row r="6" customHeight="1" spans="1:6">
      <c r="A6" s="9" t="s">
        <v>21</v>
      </c>
      <c r="B6" s="8" t="s">
        <v>22</v>
      </c>
      <c r="C6" s="8"/>
      <c r="D6" s="8"/>
      <c r="E6" s="701"/>
      <c r="F6" s="703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704">
        <v>1934986.167</v>
      </c>
      <c r="F7" s="705">
        <f>E7/2</f>
        <v>967493.0835</v>
      </c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704">
        <v>952373.166666667</v>
      </c>
      <c r="F8" s="705">
        <f t="shared" ref="F8:F37" si="0">E8/2</f>
        <v>476186.583333333</v>
      </c>
    </row>
    <row r="9" customHeight="1" spans="1:6">
      <c r="A9" s="10">
        <v>3</v>
      </c>
      <c r="B9" s="14" t="s">
        <v>29</v>
      </c>
      <c r="C9" s="4" t="s">
        <v>30</v>
      </c>
      <c r="D9" s="10" t="s">
        <v>28</v>
      </c>
      <c r="E9" s="704">
        <v>1152373.16666667</v>
      </c>
      <c r="F9" s="705">
        <f t="shared" si="0"/>
        <v>576186.583333335</v>
      </c>
    </row>
    <row r="10" customHeight="1" spans="1:6">
      <c r="A10" s="10">
        <v>4</v>
      </c>
      <c r="B10" s="11" t="s">
        <v>31</v>
      </c>
      <c r="C10" s="17" t="s">
        <v>32</v>
      </c>
      <c r="D10" s="10" t="s">
        <v>28</v>
      </c>
      <c r="E10" s="704">
        <v>942373.166666667</v>
      </c>
      <c r="F10" s="705">
        <f t="shared" si="0"/>
        <v>471186.583333333</v>
      </c>
    </row>
    <row r="11" customHeight="1" spans="1:6">
      <c r="A11" s="10">
        <v>5</v>
      </c>
      <c r="B11" s="14" t="s">
        <v>301</v>
      </c>
      <c r="C11" s="4" t="s">
        <v>832</v>
      </c>
      <c r="D11" s="10" t="s">
        <v>28</v>
      </c>
      <c r="E11" s="704">
        <v>1102373.16666667</v>
      </c>
      <c r="F11" s="705">
        <f t="shared" si="0"/>
        <v>551186.583333335</v>
      </c>
    </row>
    <row r="12" customHeight="1" spans="1:6">
      <c r="A12" s="10">
        <v>6</v>
      </c>
      <c r="B12" s="11" t="s">
        <v>33</v>
      </c>
      <c r="C12" s="12" t="s">
        <v>835</v>
      </c>
      <c r="D12" s="15" t="s">
        <v>38</v>
      </c>
      <c r="E12" s="704">
        <v>750675.583333333</v>
      </c>
      <c r="F12" s="705">
        <f t="shared" si="0"/>
        <v>375337.791666667</v>
      </c>
    </row>
    <row r="13" customHeight="1" spans="1:6">
      <c r="A13" s="10">
        <v>7</v>
      </c>
      <c r="B13" s="11" t="s">
        <v>36</v>
      </c>
      <c r="C13" s="4" t="s">
        <v>37</v>
      </c>
      <c r="D13" s="10" t="s">
        <v>41</v>
      </c>
      <c r="E13" s="704">
        <v>942118.083333333</v>
      </c>
      <c r="F13" s="705">
        <f t="shared" si="0"/>
        <v>471059.041666667</v>
      </c>
    </row>
    <row r="14" customHeight="1" spans="1:6">
      <c r="A14" s="10">
        <v>8</v>
      </c>
      <c r="B14" s="11" t="s">
        <v>39</v>
      </c>
      <c r="C14" s="4" t="s">
        <v>547</v>
      </c>
      <c r="D14" s="15" t="s">
        <v>189</v>
      </c>
      <c r="E14" s="704">
        <v>554373.75</v>
      </c>
      <c r="F14" s="705">
        <f t="shared" si="0"/>
        <v>277186.875</v>
      </c>
    </row>
    <row r="15" customHeight="1" spans="1:6">
      <c r="A15" s="10">
        <v>9</v>
      </c>
      <c r="B15" s="14" t="s">
        <v>42</v>
      </c>
      <c r="C15" s="17" t="s">
        <v>43</v>
      </c>
      <c r="D15" s="15" t="s">
        <v>41</v>
      </c>
      <c r="E15" s="704">
        <v>892118.083333333</v>
      </c>
      <c r="F15" s="705">
        <f t="shared" si="0"/>
        <v>446059.041666667</v>
      </c>
    </row>
    <row r="16" customHeight="1" spans="1:6">
      <c r="A16" s="10">
        <v>10</v>
      </c>
      <c r="B16" s="11" t="s">
        <v>44</v>
      </c>
      <c r="C16" s="4" t="s">
        <v>45</v>
      </c>
      <c r="D16" s="10" t="s">
        <v>52</v>
      </c>
      <c r="E16" s="704">
        <v>832746.5</v>
      </c>
      <c r="F16" s="705">
        <f t="shared" si="0"/>
        <v>416373.25</v>
      </c>
    </row>
    <row r="17" customHeight="1" spans="1:6">
      <c r="A17" s="10">
        <v>11</v>
      </c>
      <c r="B17" s="11" t="s">
        <v>47</v>
      </c>
      <c r="C17" s="4" t="s">
        <v>48</v>
      </c>
      <c r="D17" s="10" t="s">
        <v>41</v>
      </c>
      <c r="E17" s="704">
        <v>662118.083333333</v>
      </c>
      <c r="F17" s="705">
        <f t="shared" si="0"/>
        <v>331059.041666667</v>
      </c>
    </row>
    <row r="18" customHeight="1" spans="1:6">
      <c r="A18" s="10">
        <v>12</v>
      </c>
      <c r="B18" s="11" t="s">
        <v>50</v>
      </c>
      <c r="C18" s="12" t="s">
        <v>60</v>
      </c>
      <c r="D18" s="15" t="s">
        <v>502</v>
      </c>
      <c r="E18" s="704">
        <v>548915.916666667</v>
      </c>
      <c r="F18" s="705">
        <f t="shared" si="0"/>
        <v>274457.958333333</v>
      </c>
    </row>
    <row r="19" customHeight="1" spans="1:6">
      <c r="A19" s="10">
        <v>13</v>
      </c>
      <c r="B19" s="18" t="s">
        <v>53</v>
      </c>
      <c r="C19" s="4" t="s">
        <v>54</v>
      </c>
      <c r="D19" s="15" t="s">
        <v>58</v>
      </c>
      <c r="E19" s="704">
        <v>736026.916666667</v>
      </c>
      <c r="F19" s="705">
        <f t="shared" si="0"/>
        <v>368013.458333333</v>
      </c>
    </row>
    <row r="20" customHeight="1" spans="1:6">
      <c r="A20" s="10">
        <v>14</v>
      </c>
      <c r="B20" s="18" t="s">
        <v>56</v>
      </c>
      <c r="C20" s="4" t="s">
        <v>57</v>
      </c>
      <c r="D20" s="15" t="s">
        <v>926</v>
      </c>
      <c r="E20" s="706">
        <v>460248.916666667</v>
      </c>
      <c r="F20" s="705">
        <f t="shared" si="0"/>
        <v>230124.458333333</v>
      </c>
    </row>
    <row r="21" customHeight="1" spans="1:6">
      <c r="A21" s="10">
        <v>15</v>
      </c>
      <c r="B21" s="18" t="s">
        <v>59</v>
      </c>
      <c r="C21" s="4" t="s">
        <v>60</v>
      </c>
      <c r="D21" s="15" t="s">
        <v>926</v>
      </c>
      <c r="E21" s="706">
        <v>510248.916666667</v>
      </c>
      <c r="F21" s="705">
        <f t="shared" si="0"/>
        <v>255124.458333333</v>
      </c>
    </row>
    <row r="22" ht="18.75" customHeight="1" spans="1:6">
      <c r="A22" s="10">
        <v>16</v>
      </c>
      <c r="B22" s="11" t="s">
        <v>64</v>
      </c>
      <c r="C22" s="12" t="s">
        <v>176</v>
      </c>
      <c r="D22" s="15" t="s">
        <v>69</v>
      </c>
      <c r="E22" s="704">
        <v>587895.166666667</v>
      </c>
      <c r="F22" s="705">
        <f t="shared" si="0"/>
        <v>293947.583333333</v>
      </c>
    </row>
    <row r="23" customHeight="1" spans="1:6">
      <c r="A23" s="10">
        <v>17</v>
      </c>
      <c r="B23" s="14" t="s">
        <v>67</v>
      </c>
      <c r="C23" s="17" t="s">
        <v>68</v>
      </c>
      <c r="D23" s="10" t="s">
        <v>504</v>
      </c>
      <c r="E23" s="704">
        <v>653512.5</v>
      </c>
      <c r="F23" s="705">
        <f t="shared" si="0"/>
        <v>326756.25</v>
      </c>
    </row>
    <row r="24" ht="21.6" customHeight="1" spans="1:6">
      <c r="A24" s="10">
        <v>18</v>
      </c>
      <c r="B24" s="11" t="s">
        <v>70</v>
      </c>
      <c r="C24" s="17" t="s">
        <v>71</v>
      </c>
      <c r="D24" s="15" t="s">
        <v>504</v>
      </c>
      <c r="E24" s="704">
        <v>463512.5</v>
      </c>
      <c r="F24" s="705">
        <f t="shared" si="0"/>
        <v>231756.25</v>
      </c>
    </row>
    <row r="25" customHeight="1" spans="1:6">
      <c r="A25" s="10">
        <v>19</v>
      </c>
      <c r="B25" s="14" t="s">
        <v>72</v>
      </c>
      <c r="C25" s="17" t="s">
        <v>73</v>
      </c>
      <c r="D25" s="10" t="s">
        <v>80</v>
      </c>
      <c r="E25" s="704">
        <v>553029.666666667</v>
      </c>
      <c r="F25" s="705">
        <f t="shared" si="0"/>
        <v>276514.833333333</v>
      </c>
    </row>
    <row r="26" customHeight="1" spans="1:6">
      <c r="A26" s="10">
        <v>20</v>
      </c>
      <c r="B26" s="14" t="s">
        <v>75</v>
      </c>
      <c r="C26" s="17" t="s">
        <v>76</v>
      </c>
      <c r="D26" s="10" t="s">
        <v>80</v>
      </c>
      <c r="E26" s="704">
        <v>353029.666666667</v>
      </c>
      <c r="F26" s="705">
        <f t="shared" si="0"/>
        <v>176514.833333333</v>
      </c>
    </row>
    <row r="27" ht="18.75" customHeight="1" spans="1:6">
      <c r="A27" s="10">
        <v>21</v>
      </c>
      <c r="B27" s="4" t="s">
        <v>485</v>
      </c>
      <c r="C27" s="4" t="s">
        <v>94</v>
      </c>
      <c r="D27" s="10" t="s">
        <v>88</v>
      </c>
      <c r="E27" s="704">
        <v>330481.666666667</v>
      </c>
      <c r="F27" s="705">
        <f t="shared" si="0"/>
        <v>165240.833333333</v>
      </c>
    </row>
    <row r="28" ht="18.75" customHeight="1" spans="1:6">
      <c r="A28" s="10">
        <v>22</v>
      </c>
      <c r="B28" s="18" t="s">
        <v>78</v>
      </c>
      <c r="C28" s="12" t="s">
        <v>94</v>
      </c>
      <c r="D28" s="15" t="s">
        <v>88</v>
      </c>
      <c r="E28" s="704">
        <v>330481.666666667</v>
      </c>
      <c r="F28" s="705">
        <f t="shared" si="0"/>
        <v>165240.833333333</v>
      </c>
    </row>
    <row r="29" customHeight="1" spans="1:6">
      <c r="A29" s="10">
        <v>23</v>
      </c>
      <c r="B29" s="11" t="s">
        <v>81</v>
      </c>
      <c r="C29" s="17" t="s">
        <v>68</v>
      </c>
      <c r="D29" s="10" t="s">
        <v>88</v>
      </c>
      <c r="E29" s="704">
        <v>370481.666666667</v>
      </c>
      <c r="F29" s="705">
        <f t="shared" si="0"/>
        <v>185240.833333333</v>
      </c>
    </row>
    <row r="30" ht="18.75" customHeight="1" spans="1:6">
      <c r="A30" s="10">
        <v>24</v>
      </c>
      <c r="B30" s="18" t="s">
        <v>83</v>
      </c>
      <c r="C30" s="12" t="s">
        <v>84</v>
      </c>
      <c r="D30" s="15" t="s">
        <v>99</v>
      </c>
      <c r="E30" s="704">
        <v>323165.333333333</v>
      </c>
      <c r="F30" s="705">
        <f t="shared" si="0"/>
        <v>161582.666666667</v>
      </c>
    </row>
    <row r="31" ht="18.75" customHeight="1" spans="1:6">
      <c r="A31" s="10">
        <v>25</v>
      </c>
      <c r="B31" s="18" t="s">
        <v>86</v>
      </c>
      <c r="C31" s="4" t="s">
        <v>87</v>
      </c>
      <c r="D31" s="10" t="s">
        <v>344</v>
      </c>
      <c r="E31" s="704">
        <v>315849</v>
      </c>
      <c r="F31" s="705">
        <f t="shared" si="0"/>
        <v>157924.5</v>
      </c>
    </row>
    <row r="32" ht="18.75" customHeight="1" spans="1:6">
      <c r="A32" s="10">
        <v>26</v>
      </c>
      <c r="B32" s="18" t="s">
        <v>89</v>
      </c>
      <c r="C32" s="4" t="s">
        <v>87</v>
      </c>
      <c r="D32" s="10" t="s">
        <v>344</v>
      </c>
      <c r="E32" s="704">
        <v>315849</v>
      </c>
      <c r="F32" s="705">
        <f t="shared" si="0"/>
        <v>157924.5</v>
      </c>
    </row>
    <row r="33" ht="18.75" customHeight="1" spans="1:6">
      <c r="A33" s="10">
        <v>27</v>
      </c>
      <c r="B33" s="18" t="s">
        <v>91</v>
      </c>
      <c r="C33" s="17" t="s">
        <v>550</v>
      </c>
      <c r="D33" s="15" t="s">
        <v>88</v>
      </c>
      <c r="E33" s="704">
        <v>330481.666666667</v>
      </c>
      <c r="F33" s="705">
        <f t="shared" si="0"/>
        <v>165240.833333333</v>
      </c>
    </row>
    <row r="34" ht="18.75" customHeight="1" spans="1:6">
      <c r="A34" s="10">
        <v>28</v>
      </c>
      <c r="B34" s="18" t="s">
        <v>93</v>
      </c>
      <c r="C34" s="4" t="s">
        <v>94</v>
      </c>
      <c r="D34" s="10" t="s">
        <v>344</v>
      </c>
      <c r="E34" s="704">
        <v>315849</v>
      </c>
      <c r="F34" s="705">
        <f t="shared" si="0"/>
        <v>157924.5</v>
      </c>
    </row>
    <row r="35" ht="18.75" customHeight="1" spans="1:6">
      <c r="A35" s="10">
        <v>29</v>
      </c>
      <c r="B35" s="18" t="s">
        <v>95</v>
      </c>
      <c r="C35" s="4" t="s">
        <v>551</v>
      </c>
      <c r="D35" s="10" t="s">
        <v>344</v>
      </c>
      <c r="E35" s="704">
        <v>315849</v>
      </c>
      <c r="F35" s="705">
        <f t="shared" si="0"/>
        <v>157924.5</v>
      </c>
    </row>
    <row r="36" ht="18.75" customHeight="1" spans="1:6">
      <c r="A36" s="10">
        <v>30</v>
      </c>
      <c r="B36" s="18" t="s">
        <v>103</v>
      </c>
      <c r="C36" s="12" t="s">
        <v>104</v>
      </c>
      <c r="D36" s="15" t="s">
        <v>111</v>
      </c>
      <c r="E36" s="704">
        <v>274459.75</v>
      </c>
      <c r="F36" s="705">
        <f t="shared" si="0"/>
        <v>137229.875</v>
      </c>
    </row>
    <row r="37" ht="18.75" customHeight="1" spans="1:6">
      <c r="A37" s="10">
        <v>31</v>
      </c>
      <c r="B37" s="18" t="s">
        <v>106</v>
      </c>
      <c r="C37" s="12" t="s">
        <v>107</v>
      </c>
      <c r="D37" s="15" t="s">
        <v>276</v>
      </c>
      <c r="E37" s="706">
        <v>268287.583333333</v>
      </c>
      <c r="F37" s="705">
        <f t="shared" si="0"/>
        <v>134143.791666667</v>
      </c>
    </row>
    <row r="38" ht="26.25" customHeight="1" spans="1:6">
      <c r="A38" s="10"/>
      <c r="B38" s="20" t="s">
        <v>120</v>
      </c>
      <c r="C38" s="21">
        <v>31</v>
      </c>
      <c r="D38" s="15"/>
      <c r="E38" s="707">
        <v>19076284.417</v>
      </c>
      <c r="F38" s="708">
        <f>SUM(F7:F37)</f>
        <v>9538142.20850001</v>
      </c>
    </row>
    <row r="39" ht="18.75" customHeight="1" spans="1:6">
      <c r="A39" s="10"/>
      <c r="B39" s="22"/>
      <c r="C39" s="4"/>
      <c r="D39" s="15"/>
      <c r="E39" s="707"/>
      <c r="F39" s="708"/>
    </row>
    <row r="40" ht="18.75" customHeight="1" spans="1:6">
      <c r="A40" s="10"/>
      <c r="B40" s="20" t="s">
        <v>121</v>
      </c>
      <c r="C40" s="4"/>
      <c r="D40" s="15"/>
      <c r="E40" s="704"/>
      <c r="F40" s="705"/>
    </row>
    <row r="41" ht="18.75" customHeight="1" spans="1:6">
      <c r="A41" s="10">
        <v>1</v>
      </c>
      <c r="B41" s="18" t="s">
        <v>122</v>
      </c>
      <c r="C41" s="4" t="s">
        <v>123</v>
      </c>
      <c r="D41" s="10" t="s">
        <v>124</v>
      </c>
      <c r="E41" s="704">
        <v>1535720</v>
      </c>
      <c r="F41" s="705">
        <f>E41/2</f>
        <v>767860</v>
      </c>
    </row>
    <row r="42" ht="18.75" customHeight="1" spans="1:6">
      <c r="A42" s="10">
        <v>2</v>
      </c>
      <c r="B42" s="18" t="s">
        <v>127</v>
      </c>
      <c r="C42" s="4" t="s">
        <v>128</v>
      </c>
      <c r="D42" s="10" t="s">
        <v>80</v>
      </c>
      <c r="E42" s="704">
        <v>353029.666666667</v>
      </c>
      <c r="F42" s="705">
        <f>E42/2</f>
        <v>176514.833333333</v>
      </c>
    </row>
    <row r="43" ht="18.75" customHeight="1" spans="1:6">
      <c r="A43" s="10">
        <v>3</v>
      </c>
      <c r="B43" s="11" t="s">
        <v>129</v>
      </c>
      <c r="C43" s="4" t="s">
        <v>128</v>
      </c>
      <c r="D43" s="15" t="s">
        <v>74</v>
      </c>
      <c r="E43" s="704">
        <v>360965.583333333</v>
      </c>
      <c r="F43" s="705">
        <f>E43/2</f>
        <v>180482.791666667</v>
      </c>
    </row>
    <row r="44" ht="18.75" customHeight="1" spans="1:6">
      <c r="A44" s="10">
        <v>4</v>
      </c>
      <c r="B44" s="11" t="s">
        <v>133</v>
      </c>
      <c r="C44" s="4" t="s">
        <v>134</v>
      </c>
      <c r="D44" s="15" t="s">
        <v>344</v>
      </c>
      <c r="E44" s="706">
        <v>315849</v>
      </c>
      <c r="F44" s="705">
        <f>E44/2</f>
        <v>157924.5</v>
      </c>
    </row>
    <row r="45" ht="19.5" customHeight="1" spans="1:6">
      <c r="A45" s="10"/>
      <c r="B45" s="14"/>
      <c r="C45" s="21">
        <v>4</v>
      </c>
      <c r="D45" s="10"/>
      <c r="E45" s="707">
        <v>2565564.25</v>
      </c>
      <c r="F45" s="708">
        <f>SUM(F41:F44)</f>
        <v>1282782.125</v>
      </c>
    </row>
    <row r="46" customHeight="1" spans="1:6">
      <c r="A46" s="10"/>
      <c r="B46" s="14"/>
      <c r="C46" s="4"/>
      <c r="D46" s="10"/>
      <c r="E46" s="707"/>
      <c r="F46" s="708"/>
    </row>
    <row r="47" customHeight="1" spans="1:6">
      <c r="A47" s="10"/>
      <c r="B47" s="23" t="s">
        <v>137</v>
      </c>
      <c r="C47" s="5"/>
      <c r="D47" s="24"/>
      <c r="E47" s="707"/>
      <c r="F47" s="708"/>
    </row>
    <row r="48" customHeight="1" spans="1:6">
      <c r="A48" s="10">
        <v>1</v>
      </c>
      <c r="B48" s="11" t="s">
        <v>837</v>
      </c>
      <c r="C48" s="4" t="s">
        <v>838</v>
      </c>
      <c r="D48" s="10" t="s">
        <v>124</v>
      </c>
      <c r="E48" s="704">
        <f>'JANUARY 2026'!J75</f>
        <v>1947106.41666666</v>
      </c>
      <c r="F48" s="705">
        <f>E48/2</f>
        <v>973553.20833333</v>
      </c>
    </row>
    <row r="49" customHeight="1" spans="1:6">
      <c r="A49" s="10">
        <v>2</v>
      </c>
      <c r="B49" s="11" t="s">
        <v>839</v>
      </c>
      <c r="C49" s="4" t="s">
        <v>43</v>
      </c>
      <c r="D49" s="10" t="s">
        <v>38</v>
      </c>
      <c r="E49" s="704">
        <v>0</v>
      </c>
      <c r="F49" s="705">
        <f t="shared" ref="F49:F57" si="1">E49/2</f>
        <v>0</v>
      </c>
    </row>
    <row r="50" customHeight="1" spans="1:6">
      <c r="A50" s="10">
        <v>3</v>
      </c>
      <c r="B50" s="11" t="s">
        <v>138</v>
      </c>
      <c r="C50" s="4" t="s">
        <v>552</v>
      </c>
      <c r="D50" s="10" t="s">
        <v>207</v>
      </c>
      <c r="E50" s="704">
        <v>919203.583333333</v>
      </c>
      <c r="F50" s="705">
        <f t="shared" si="1"/>
        <v>459601.791666667</v>
      </c>
    </row>
    <row r="51" customHeight="1" spans="1:6">
      <c r="A51" s="10">
        <v>4</v>
      </c>
      <c r="B51" s="11" t="s">
        <v>141</v>
      </c>
      <c r="C51" s="4" t="s">
        <v>142</v>
      </c>
      <c r="D51" s="10" t="s">
        <v>38</v>
      </c>
      <c r="E51" s="704">
        <v>780675.583333333</v>
      </c>
      <c r="F51" s="705">
        <f t="shared" si="1"/>
        <v>390337.791666667</v>
      </c>
    </row>
    <row r="52" customHeight="1" spans="1:6">
      <c r="A52" s="10">
        <v>5</v>
      </c>
      <c r="B52" s="11" t="s">
        <v>143</v>
      </c>
      <c r="C52" s="4" t="s">
        <v>142</v>
      </c>
      <c r="D52" s="10" t="s">
        <v>38</v>
      </c>
      <c r="E52" s="704">
        <v>780675.583333333</v>
      </c>
      <c r="F52" s="705">
        <f t="shared" si="1"/>
        <v>390337.791666667</v>
      </c>
    </row>
    <row r="53" customHeight="1" spans="1:6">
      <c r="A53" s="10">
        <v>6</v>
      </c>
      <c r="B53" s="11" t="s">
        <v>144</v>
      </c>
      <c r="C53" s="4" t="s">
        <v>142</v>
      </c>
      <c r="D53" s="10" t="s">
        <v>41</v>
      </c>
      <c r="E53" s="704">
        <v>742118.083333333</v>
      </c>
      <c r="F53" s="705">
        <f t="shared" si="1"/>
        <v>371059.041666667</v>
      </c>
    </row>
    <row r="54" customHeight="1" spans="1:6">
      <c r="A54" s="10">
        <v>7</v>
      </c>
      <c r="B54" s="14" t="s">
        <v>145</v>
      </c>
      <c r="C54" s="4" t="s">
        <v>142</v>
      </c>
      <c r="D54" s="10" t="s">
        <v>41</v>
      </c>
      <c r="E54" s="704">
        <v>742118.083333333</v>
      </c>
      <c r="F54" s="705">
        <f t="shared" si="1"/>
        <v>371059.041666667</v>
      </c>
    </row>
    <row r="55" customHeight="1" spans="1:6">
      <c r="A55" s="10">
        <v>8</v>
      </c>
      <c r="B55" s="11" t="s">
        <v>149</v>
      </c>
      <c r="C55" s="4" t="s">
        <v>150</v>
      </c>
      <c r="D55" s="10" t="s">
        <v>74</v>
      </c>
      <c r="E55" s="704">
        <v>400965.583333333</v>
      </c>
      <c r="F55" s="705">
        <f t="shared" si="1"/>
        <v>200482.791666667</v>
      </c>
    </row>
    <row r="56" customHeight="1" spans="1:6">
      <c r="A56" s="10">
        <v>9</v>
      </c>
      <c r="B56" s="11" t="s">
        <v>153</v>
      </c>
      <c r="C56" s="4" t="s">
        <v>150</v>
      </c>
      <c r="D56" s="10" t="s">
        <v>99</v>
      </c>
      <c r="E56" s="704">
        <v>363165.333333333</v>
      </c>
      <c r="F56" s="705">
        <f t="shared" si="1"/>
        <v>181582.666666667</v>
      </c>
    </row>
    <row r="57" customHeight="1" spans="1:6">
      <c r="A57" s="10">
        <v>10</v>
      </c>
      <c r="B57" s="11" t="s">
        <v>154</v>
      </c>
      <c r="C57" s="4" t="s">
        <v>150</v>
      </c>
      <c r="D57" s="10" t="s">
        <v>99</v>
      </c>
      <c r="E57" s="704">
        <v>363165.333333333</v>
      </c>
      <c r="F57" s="705">
        <f t="shared" si="1"/>
        <v>181582.666666667</v>
      </c>
    </row>
    <row r="58" ht="25.5" customHeight="1" spans="1:6">
      <c r="A58" s="10"/>
      <c r="B58" s="20" t="s">
        <v>120</v>
      </c>
      <c r="C58" s="21">
        <v>10</v>
      </c>
      <c r="D58" s="21"/>
      <c r="E58" s="709">
        <f>SUM(E48:E57)</f>
        <v>7039193.58333332</v>
      </c>
      <c r="F58" s="710">
        <f>SUM(F48:F57)</f>
        <v>3519596.79166667</v>
      </c>
    </row>
    <row r="59" customHeight="1" spans="1:6">
      <c r="A59" s="10"/>
      <c r="B59" s="22"/>
      <c r="C59" s="21"/>
      <c r="D59" s="21"/>
      <c r="E59" s="711"/>
      <c r="F59" s="712"/>
    </row>
    <row r="60" customHeight="1" spans="1:6">
      <c r="A60" s="10"/>
      <c r="B60" s="20" t="s">
        <v>156</v>
      </c>
      <c r="C60" s="21"/>
      <c r="D60" s="21"/>
      <c r="E60" s="711"/>
      <c r="F60" s="712"/>
    </row>
    <row r="61" customHeight="1" spans="1:6">
      <c r="A61" s="10">
        <v>1</v>
      </c>
      <c r="B61" s="11" t="s">
        <v>841</v>
      </c>
      <c r="C61" s="12" t="s">
        <v>158</v>
      </c>
      <c r="D61" s="15" t="s">
        <v>124</v>
      </c>
      <c r="E61" s="704">
        <v>1635720</v>
      </c>
      <c r="F61" s="705">
        <f>E61/2</f>
        <v>817860</v>
      </c>
    </row>
    <row r="62" customHeight="1" spans="1:6">
      <c r="A62" s="10">
        <v>2</v>
      </c>
      <c r="B62" s="11" t="s">
        <v>159</v>
      </c>
      <c r="C62" s="12" t="s">
        <v>160</v>
      </c>
      <c r="D62" s="15" t="s">
        <v>161</v>
      </c>
      <c r="E62" s="704">
        <v>700675.583333333</v>
      </c>
      <c r="F62" s="705">
        <f>E62/2</f>
        <v>350337.791666667</v>
      </c>
    </row>
    <row r="63" customHeight="1" spans="1:6">
      <c r="A63" s="10"/>
      <c r="B63" s="20" t="s">
        <v>120</v>
      </c>
      <c r="C63" s="21">
        <v>2</v>
      </c>
      <c r="D63" s="21"/>
      <c r="E63" s="709">
        <v>700675.583333333</v>
      </c>
      <c r="F63" s="710">
        <f>SUM(F61:F62)</f>
        <v>1168197.79166667</v>
      </c>
    </row>
    <row r="64" customHeight="1" spans="1:6">
      <c r="A64" s="10"/>
      <c r="B64" s="20"/>
      <c r="C64" s="21"/>
      <c r="D64" s="21"/>
      <c r="E64" s="711"/>
      <c r="F64" s="712"/>
    </row>
    <row r="65" customHeight="1" spans="1:6">
      <c r="A65" s="10"/>
      <c r="B65" s="20" t="s">
        <v>162</v>
      </c>
      <c r="C65" s="21"/>
      <c r="D65" s="21"/>
      <c r="E65" s="711"/>
      <c r="F65" s="712"/>
    </row>
    <row r="66" customHeight="1" spans="1:6">
      <c r="A66" s="10">
        <v>1</v>
      </c>
      <c r="B66" s="11" t="s">
        <v>842</v>
      </c>
      <c r="C66" s="17" t="s">
        <v>843</v>
      </c>
      <c r="D66" s="10" t="s">
        <v>124</v>
      </c>
      <c r="E66" s="704">
        <v>1635720</v>
      </c>
      <c r="F66" s="705">
        <f>E66/2</f>
        <v>817860</v>
      </c>
    </row>
    <row r="67" customHeight="1" spans="1:6">
      <c r="A67" s="10">
        <v>2</v>
      </c>
      <c r="B67" s="351" t="s">
        <v>844</v>
      </c>
      <c r="C67" s="17" t="s">
        <v>845</v>
      </c>
      <c r="D67" s="15" t="s">
        <v>49</v>
      </c>
      <c r="E67" s="704">
        <v>761396.833333333</v>
      </c>
      <c r="F67" s="705">
        <f t="shared" ref="F67:F74" si="2">E67/2</f>
        <v>380698.416666667</v>
      </c>
    </row>
    <row r="68" customHeight="1" spans="1:6">
      <c r="A68" s="10">
        <v>3</v>
      </c>
      <c r="B68" s="11" t="s">
        <v>165</v>
      </c>
      <c r="C68" s="4" t="s">
        <v>51</v>
      </c>
      <c r="D68" s="10" t="s">
        <v>52</v>
      </c>
      <c r="E68" s="704">
        <v>582746.5</v>
      </c>
      <c r="F68" s="705">
        <f t="shared" si="2"/>
        <v>291373.25</v>
      </c>
    </row>
    <row r="69" customHeight="1" spans="1:6">
      <c r="A69" s="10">
        <v>4</v>
      </c>
      <c r="B69" s="18" t="s">
        <v>846</v>
      </c>
      <c r="C69" s="17" t="s">
        <v>167</v>
      </c>
      <c r="D69" s="15" t="s">
        <v>502</v>
      </c>
      <c r="E69" s="704">
        <v>0</v>
      </c>
      <c r="F69" s="705">
        <f t="shared" si="2"/>
        <v>0</v>
      </c>
    </row>
    <row r="70" customHeight="1" spans="1:6">
      <c r="A70" s="10">
        <v>7</v>
      </c>
      <c r="B70" s="11" t="s">
        <v>169</v>
      </c>
      <c r="C70" s="4" t="s">
        <v>150</v>
      </c>
      <c r="D70" s="10" t="s">
        <v>131</v>
      </c>
      <c r="E70" s="704">
        <v>475703.833333333</v>
      </c>
      <c r="F70" s="705">
        <f t="shared" si="2"/>
        <v>237851.916666667</v>
      </c>
    </row>
    <row r="71" customHeight="1" spans="1:6">
      <c r="A71" s="10">
        <v>8</v>
      </c>
      <c r="B71" s="11" t="s">
        <v>171</v>
      </c>
      <c r="C71" s="17" t="s">
        <v>71</v>
      </c>
      <c r="D71" s="10" t="s">
        <v>131</v>
      </c>
      <c r="E71" s="704">
        <v>475703.833333333</v>
      </c>
      <c r="F71" s="705">
        <f t="shared" si="2"/>
        <v>237851.916666667</v>
      </c>
    </row>
    <row r="72" customHeight="1" spans="1:6">
      <c r="A72" s="10">
        <v>9</v>
      </c>
      <c r="B72" s="11" t="s">
        <v>172</v>
      </c>
      <c r="C72" s="17" t="s">
        <v>71</v>
      </c>
      <c r="D72" s="10" t="s">
        <v>131</v>
      </c>
      <c r="E72" s="704">
        <v>475703.833333333</v>
      </c>
      <c r="F72" s="705">
        <f t="shared" si="2"/>
        <v>237851.916666667</v>
      </c>
    </row>
    <row r="73" customHeight="1" spans="1:6">
      <c r="A73" s="10">
        <v>10</v>
      </c>
      <c r="B73" s="11" t="s">
        <v>173</v>
      </c>
      <c r="C73" s="4" t="s">
        <v>553</v>
      </c>
      <c r="D73" s="10" t="s">
        <v>69</v>
      </c>
      <c r="E73" s="713">
        <v>487895.166666667</v>
      </c>
      <c r="F73" s="705">
        <f t="shared" si="2"/>
        <v>243947.583333333</v>
      </c>
    </row>
    <row r="74" ht="21.6" customHeight="1" spans="1:6">
      <c r="A74" s="10">
        <v>11</v>
      </c>
      <c r="B74" s="11" t="s">
        <v>177</v>
      </c>
      <c r="C74" s="4" t="s">
        <v>150</v>
      </c>
      <c r="D74" s="10" t="s">
        <v>74</v>
      </c>
      <c r="E74" s="714">
        <v>400965.583333333</v>
      </c>
      <c r="F74" s="705">
        <f t="shared" si="2"/>
        <v>200482.791666667</v>
      </c>
    </row>
    <row r="75" ht="27" customHeight="1" spans="1:6">
      <c r="A75" s="10"/>
      <c r="B75" s="20" t="s">
        <v>120</v>
      </c>
      <c r="C75" s="21">
        <v>11</v>
      </c>
      <c r="D75" s="21"/>
      <c r="E75" s="709">
        <v>5295835.58333333</v>
      </c>
      <c r="F75" s="710">
        <f>SUM(F66:F74)</f>
        <v>2647917.79166667</v>
      </c>
    </row>
    <row r="76" customHeight="1" spans="1:6">
      <c r="A76" s="10"/>
      <c r="B76" s="22"/>
      <c r="C76" s="21"/>
      <c r="D76" s="21"/>
      <c r="E76" s="711"/>
      <c r="F76" s="712"/>
    </row>
    <row r="77" customHeight="1" spans="1:6">
      <c r="A77" s="10"/>
      <c r="B77" s="20" t="s">
        <v>180</v>
      </c>
      <c r="C77" s="21"/>
      <c r="D77" s="21"/>
      <c r="E77" s="711"/>
      <c r="F77" s="712"/>
    </row>
    <row r="78" customHeight="1" spans="1:6">
      <c r="A78" s="10">
        <v>1</v>
      </c>
      <c r="B78" s="11" t="s">
        <v>181</v>
      </c>
      <c r="C78" s="4" t="s">
        <v>182</v>
      </c>
      <c r="D78" s="10" t="s">
        <v>124</v>
      </c>
      <c r="E78" s="704">
        <v>1635720</v>
      </c>
      <c r="F78" s="705">
        <f t="shared" ref="F78:F83" si="3">E78/2</f>
        <v>817860</v>
      </c>
    </row>
    <row r="79" customHeight="1" spans="1:6">
      <c r="A79" s="10">
        <v>2</v>
      </c>
      <c r="B79" s="11" t="s">
        <v>185</v>
      </c>
      <c r="C79" s="4" t="s">
        <v>186</v>
      </c>
      <c r="D79" s="10" t="s">
        <v>41</v>
      </c>
      <c r="E79" s="704">
        <v>742118.083333333</v>
      </c>
      <c r="F79" s="705">
        <f t="shared" si="3"/>
        <v>371059.041666667</v>
      </c>
    </row>
    <row r="80" customHeight="1" spans="1:6">
      <c r="A80" s="10">
        <v>3</v>
      </c>
      <c r="B80" s="11" t="s">
        <v>187</v>
      </c>
      <c r="C80" s="4" t="s">
        <v>188</v>
      </c>
      <c r="D80" s="15" t="s">
        <v>212</v>
      </c>
      <c r="E80" s="704">
        <v>596622.25</v>
      </c>
      <c r="F80" s="705">
        <f t="shared" si="3"/>
        <v>298311.125</v>
      </c>
    </row>
    <row r="81" customHeight="1" spans="1:6">
      <c r="A81" s="10">
        <v>4</v>
      </c>
      <c r="B81" s="11" t="s">
        <v>194</v>
      </c>
      <c r="C81" s="4" t="s">
        <v>195</v>
      </c>
      <c r="D81" s="10" t="s">
        <v>504</v>
      </c>
      <c r="E81" s="704">
        <v>463512.5</v>
      </c>
      <c r="F81" s="705">
        <f t="shared" si="3"/>
        <v>231756.25</v>
      </c>
    </row>
    <row r="82" customHeight="1" spans="1:6">
      <c r="A82" s="10">
        <v>5</v>
      </c>
      <c r="B82" s="11" t="s">
        <v>198</v>
      </c>
      <c r="C82" s="4" t="s">
        <v>179</v>
      </c>
      <c r="D82" s="10" t="s">
        <v>99</v>
      </c>
      <c r="E82" s="704">
        <v>363165.333333333</v>
      </c>
      <c r="F82" s="705">
        <f t="shared" si="3"/>
        <v>181582.666666667</v>
      </c>
    </row>
    <row r="83" customHeight="1" spans="1:6">
      <c r="A83" s="10">
        <v>6</v>
      </c>
      <c r="B83" s="11" t="s">
        <v>200</v>
      </c>
      <c r="C83" s="4" t="s">
        <v>201</v>
      </c>
      <c r="D83" s="10" t="s">
        <v>111</v>
      </c>
      <c r="E83" s="704">
        <v>324459.75</v>
      </c>
      <c r="F83" s="705">
        <f t="shared" si="3"/>
        <v>162229.875</v>
      </c>
    </row>
    <row r="84" ht="24" customHeight="1" spans="1:6">
      <c r="A84" s="10"/>
      <c r="B84" s="20" t="s">
        <v>120</v>
      </c>
      <c r="C84" s="21">
        <v>6</v>
      </c>
      <c r="D84" s="21"/>
      <c r="E84" s="709">
        <v>4125597.91666667</v>
      </c>
      <c r="F84" s="710">
        <f>SUM(F78:F83)</f>
        <v>2062798.95833333</v>
      </c>
    </row>
    <row r="85" customHeight="1" spans="1:6">
      <c r="A85" s="10"/>
      <c r="B85" s="20"/>
      <c r="C85" s="21"/>
      <c r="D85" s="21"/>
      <c r="E85" s="711"/>
      <c r="F85" s="712"/>
    </row>
    <row r="86" customHeight="1" spans="1:6">
      <c r="A86" s="10"/>
      <c r="B86" s="20" t="s">
        <v>202</v>
      </c>
      <c r="C86" s="25"/>
      <c r="D86" s="21"/>
      <c r="E86" s="711"/>
      <c r="F86" s="712"/>
    </row>
    <row r="87" customHeight="1" spans="1:6">
      <c r="A87" s="10">
        <v>1</v>
      </c>
      <c r="B87" s="11" t="s">
        <v>205</v>
      </c>
      <c r="C87" s="4" t="s">
        <v>142</v>
      </c>
      <c r="D87" s="10" t="s">
        <v>38</v>
      </c>
      <c r="E87" s="704">
        <v>980675.583333333</v>
      </c>
      <c r="F87" s="705">
        <f>E87/2</f>
        <v>490337.791666667</v>
      </c>
    </row>
    <row r="88" customHeight="1" spans="1:6">
      <c r="A88" s="10">
        <v>2</v>
      </c>
      <c r="B88" s="11" t="s">
        <v>203</v>
      </c>
      <c r="C88" s="4" t="s">
        <v>142</v>
      </c>
      <c r="D88" s="10" t="s">
        <v>38</v>
      </c>
      <c r="E88" s="704">
        <v>780675.583333333</v>
      </c>
      <c r="F88" s="705">
        <f t="shared" ref="F88:F96" si="4">E88/2</f>
        <v>390337.791666667</v>
      </c>
    </row>
    <row r="89" customHeight="1" spans="1:6">
      <c r="A89" s="10">
        <v>3</v>
      </c>
      <c r="B89" s="11" t="s">
        <v>208</v>
      </c>
      <c r="C89" s="4" t="s">
        <v>142</v>
      </c>
      <c r="D89" s="10" t="s">
        <v>41</v>
      </c>
      <c r="E89" s="704">
        <v>742118.083333333</v>
      </c>
      <c r="F89" s="705">
        <f t="shared" si="4"/>
        <v>371059.041666667</v>
      </c>
    </row>
    <row r="90" ht="21.6" customHeight="1" spans="1:6">
      <c r="A90" s="10">
        <v>4</v>
      </c>
      <c r="B90" s="11" t="s">
        <v>209</v>
      </c>
      <c r="C90" s="4" t="s">
        <v>51</v>
      </c>
      <c r="D90" s="15" t="s">
        <v>52</v>
      </c>
      <c r="E90" s="704">
        <v>582746.5</v>
      </c>
      <c r="F90" s="705">
        <f t="shared" si="4"/>
        <v>291373.25</v>
      </c>
    </row>
    <row r="91" ht="21.6" customHeight="1" spans="1:6">
      <c r="A91" s="10">
        <v>5</v>
      </c>
      <c r="B91" s="11" t="s">
        <v>210</v>
      </c>
      <c r="C91" s="4" t="s">
        <v>51</v>
      </c>
      <c r="D91" s="15" t="s">
        <v>52</v>
      </c>
      <c r="E91" s="704">
        <v>562746.5</v>
      </c>
      <c r="F91" s="705">
        <f t="shared" si="4"/>
        <v>281373.25</v>
      </c>
    </row>
    <row r="92" ht="21.6" customHeight="1" spans="1:6">
      <c r="A92" s="10">
        <v>6</v>
      </c>
      <c r="B92" s="11" t="s">
        <v>211</v>
      </c>
      <c r="C92" s="12" t="s">
        <v>51</v>
      </c>
      <c r="D92" s="15" t="s">
        <v>501</v>
      </c>
      <c r="E92" s="704">
        <v>568870.75</v>
      </c>
      <c r="F92" s="705">
        <f t="shared" si="4"/>
        <v>284435.375</v>
      </c>
    </row>
    <row r="93" ht="21.6" customHeight="1" spans="1:6">
      <c r="A93" s="10">
        <v>7</v>
      </c>
      <c r="B93" s="11" t="s">
        <v>213</v>
      </c>
      <c r="C93" s="17" t="s">
        <v>71</v>
      </c>
      <c r="D93" s="15" t="s">
        <v>131</v>
      </c>
      <c r="E93" s="704">
        <v>475703.833333333</v>
      </c>
      <c r="F93" s="705">
        <f t="shared" si="4"/>
        <v>237851.916666667</v>
      </c>
    </row>
    <row r="94" ht="21.6" customHeight="1" spans="1:6">
      <c r="A94" s="10">
        <v>8</v>
      </c>
      <c r="B94" s="11" t="s">
        <v>214</v>
      </c>
      <c r="C94" s="17" t="s">
        <v>167</v>
      </c>
      <c r="D94" s="15" t="s">
        <v>66</v>
      </c>
      <c r="E94" s="704">
        <v>510248.916666667</v>
      </c>
      <c r="F94" s="705">
        <f t="shared" si="4"/>
        <v>255124.458333333</v>
      </c>
    </row>
    <row r="95" ht="21.6" customHeight="1" spans="1:6">
      <c r="A95" s="10">
        <v>9</v>
      </c>
      <c r="B95" s="11" t="s">
        <v>217</v>
      </c>
      <c r="C95" s="4" t="s">
        <v>218</v>
      </c>
      <c r="D95" s="10" t="s">
        <v>74</v>
      </c>
      <c r="E95" s="714">
        <v>400965.583333333</v>
      </c>
      <c r="F95" s="705">
        <f t="shared" si="4"/>
        <v>200482.791666667</v>
      </c>
    </row>
    <row r="96" ht="21.6" customHeight="1" spans="1:6">
      <c r="A96" s="10">
        <v>10</v>
      </c>
      <c r="B96" s="11" t="s">
        <v>221</v>
      </c>
      <c r="C96" s="17" t="s">
        <v>222</v>
      </c>
      <c r="D96" s="15" t="s">
        <v>108</v>
      </c>
      <c r="E96" s="714">
        <v>330631.916666667</v>
      </c>
      <c r="F96" s="705">
        <f t="shared" si="4"/>
        <v>165315.958333333</v>
      </c>
    </row>
    <row r="97" ht="29.1" customHeight="1" spans="1:6">
      <c r="A97" s="10"/>
      <c r="B97" s="20" t="s">
        <v>120</v>
      </c>
      <c r="C97" s="21">
        <v>10</v>
      </c>
      <c r="D97" s="21"/>
      <c r="E97" s="709">
        <v>5935383.25</v>
      </c>
      <c r="F97" s="710">
        <f>SUM(F87:F96)</f>
        <v>2967691.625</v>
      </c>
    </row>
    <row r="98" customHeight="1" spans="1:6">
      <c r="A98" s="10"/>
      <c r="B98" s="22"/>
      <c r="C98" s="21"/>
      <c r="D98" s="21"/>
      <c r="E98" s="711"/>
      <c r="F98" s="712"/>
    </row>
    <row r="99" customHeight="1" spans="1:6">
      <c r="A99" s="10"/>
      <c r="B99" s="20" t="s">
        <v>224</v>
      </c>
      <c r="C99" s="21"/>
      <c r="D99" s="21"/>
      <c r="E99" s="711"/>
      <c r="F99" s="712"/>
    </row>
    <row r="100" customHeight="1" spans="1:6">
      <c r="A100" s="10">
        <v>1</v>
      </c>
      <c r="B100" s="14" t="s">
        <v>225</v>
      </c>
      <c r="C100" s="4" t="s">
        <v>554</v>
      </c>
      <c r="D100" s="16" t="s">
        <v>505</v>
      </c>
      <c r="E100" s="704">
        <v>1452042.66666667</v>
      </c>
      <c r="F100" s="705">
        <f>E100/2</f>
        <v>726021.333333335</v>
      </c>
    </row>
    <row r="101" customHeight="1" spans="1:6">
      <c r="A101" s="10">
        <v>2</v>
      </c>
      <c r="B101" s="11" t="s">
        <v>227</v>
      </c>
      <c r="C101" s="4" t="s">
        <v>228</v>
      </c>
      <c r="D101" s="15" t="s">
        <v>212</v>
      </c>
      <c r="E101" s="704">
        <v>526622.25</v>
      </c>
      <c r="F101" s="705">
        <f>E101/2</f>
        <v>263311.125</v>
      </c>
    </row>
    <row r="102" customHeight="1" spans="1:6">
      <c r="A102" s="10">
        <v>3</v>
      </c>
      <c r="B102" s="11" t="s">
        <v>233</v>
      </c>
      <c r="C102" s="4" t="s">
        <v>555</v>
      </c>
      <c r="D102" s="15" t="s">
        <v>69</v>
      </c>
      <c r="E102" s="704">
        <v>437895.166666667</v>
      </c>
      <c r="F102" s="705">
        <f>E102/2</f>
        <v>218947.583333333</v>
      </c>
    </row>
    <row r="103" customHeight="1" spans="1:6">
      <c r="A103" s="10">
        <v>4</v>
      </c>
      <c r="B103" s="11" t="s">
        <v>234</v>
      </c>
      <c r="C103" s="4" t="s">
        <v>197</v>
      </c>
      <c r="D103" s="15" t="s">
        <v>74</v>
      </c>
      <c r="E103" s="714">
        <v>360965.583333333</v>
      </c>
      <c r="F103" s="705">
        <f>E103/2</f>
        <v>180482.791666667</v>
      </c>
    </row>
    <row r="104" customHeight="1" spans="1:6">
      <c r="A104" s="4"/>
      <c r="B104" s="20" t="s">
        <v>120</v>
      </c>
      <c r="C104" s="21">
        <v>4</v>
      </c>
      <c r="D104" s="26"/>
      <c r="E104" s="709">
        <v>2777525.66666667</v>
      </c>
      <c r="F104" s="710">
        <f>SUM(F100:F103)</f>
        <v>1388762.83333333</v>
      </c>
    </row>
    <row r="105" customHeight="1" spans="1:6">
      <c r="A105" s="4"/>
      <c r="B105" s="22"/>
      <c r="C105" s="21"/>
      <c r="D105" s="26"/>
      <c r="E105" s="711"/>
      <c r="F105" s="712"/>
    </row>
    <row r="106" customHeight="1" spans="1:6">
      <c r="A106" s="4"/>
      <c r="B106" s="20" t="s">
        <v>237</v>
      </c>
      <c r="C106" s="4"/>
      <c r="D106" s="4"/>
      <c r="E106" s="715"/>
      <c r="F106" s="716"/>
    </row>
    <row r="107" customHeight="1" spans="1:6">
      <c r="A107" s="4">
        <v>1</v>
      </c>
      <c r="B107" s="11" t="s">
        <v>556</v>
      </c>
      <c r="C107" s="12" t="s">
        <v>239</v>
      </c>
      <c r="D107" s="15" t="s">
        <v>124</v>
      </c>
      <c r="E107" s="704">
        <v>1635720</v>
      </c>
      <c r="F107" s="705">
        <f>E107/2</f>
        <v>817860</v>
      </c>
    </row>
    <row r="108" customHeight="1" spans="1:6">
      <c r="A108" s="4">
        <v>2</v>
      </c>
      <c r="B108" s="11" t="s">
        <v>240</v>
      </c>
      <c r="C108" s="4" t="s">
        <v>241</v>
      </c>
      <c r="D108" s="16" t="s">
        <v>35</v>
      </c>
      <c r="E108" s="704">
        <v>942373.166666667</v>
      </c>
      <c r="F108" s="705">
        <f t="shared" ref="F108:F113" si="5">E108/2</f>
        <v>471186.583333333</v>
      </c>
    </row>
    <row r="109" customHeight="1" spans="1:6">
      <c r="A109" s="4">
        <v>3</v>
      </c>
      <c r="B109" s="11" t="s">
        <v>242</v>
      </c>
      <c r="C109" s="4" t="s">
        <v>557</v>
      </c>
      <c r="D109" s="10" t="s">
        <v>55</v>
      </c>
      <c r="E109" s="704">
        <v>603237.855191667</v>
      </c>
      <c r="F109" s="705">
        <f t="shared" si="5"/>
        <v>301618.927595833</v>
      </c>
    </row>
    <row r="110" customHeight="1" spans="1:6">
      <c r="A110" s="4">
        <v>4</v>
      </c>
      <c r="B110" s="11" t="s">
        <v>244</v>
      </c>
      <c r="C110" s="4" t="s">
        <v>557</v>
      </c>
      <c r="D110" s="10" t="s">
        <v>55</v>
      </c>
      <c r="E110" s="704">
        <v>601625.033321667</v>
      </c>
      <c r="F110" s="705">
        <f t="shared" si="5"/>
        <v>300812.516660833</v>
      </c>
    </row>
    <row r="111" customHeight="1" spans="1:6">
      <c r="A111" s="4">
        <v>5</v>
      </c>
      <c r="B111" s="11" t="s">
        <v>247</v>
      </c>
      <c r="C111" s="4" t="s">
        <v>248</v>
      </c>
      <c r="D111" s="15" t="s">
        <v>853</v>
      </c>
      <c r="E111" s="714">
        <v>374481.864146667</v>
      </c>
      <c r="F111" s="705">
        <f t="shared" si="5"/>
        <v>187240.932073334</v>
      </c>
    </row>
    <row r="112" customHeight="1" spans="1:6">
      <c r="A112" s="4">
        <v>6</v>
      </c>
      <c r="B112" s="18" t="s">
        <v>250</v>
      </c>
      <c r="C112" s="4" t="s">
        <v>248</v>
      </c>
      <c r="D112" s="10" t="s">
        <v>223</v>
      </c>
      <c r="E112" s="714">
        <v>367926.021</v>
      </c>
      <c r="F112" s="705">
        <f t="shared" si="5"/>
        <v>183963.0105</v>
      </c>
    </row>
    <row r="113" customHeight="1" spans="1:6">
      <c r="A113" s="4">
        <v>7</v>
      </c>
      <c r="B113" s="18" t="s">
        <v>251</v>
      </c>
      <c r="C113" s="4" t="s">
        <v>248</v>
      </c>
      <c r="D113" s="15" t="s">
        <v>108</v>
      </c>
      <c r="E113" s="714">
        <v>355198.112111667</v>
      </c>
      <c r="F113" s="705">
        <f t="shared" si="5"/>
        <v>177599.056055833</v>
      </c>
    </row>
    <row r="114" ht="25.5" customHeight="1" spans="1:6">
      <c r="A114" s="4"/>
      <c r="B114" s="20" t="s">
        <v>120</v>
      </c>
      <c r="C114" s="21">
        <v>7</v>
      </c>
      <c r="D114" s="4"/>
      <c r="E114" s="717">
        <v>4880562.05243834</v>
      </c>
      <c r="F114" s="718">
        <f>SUM(F107:F113)</f>
        <v>2440281.02621917</v>
      </c>
    </row>
    <row r="115" customHeight="1" spans="1:6">
      <c r="A115" s="4"/>
      <c r="B115" s="20"/>
      <c r="C115" s="21"/>
      <c r="D115" s="4"/>
      <c r="E115" s="717"/>
      <c r="F115" s="718"/>
    </row>
    <row r="116" customHeight="1" spans="1:6">
      <c r="A116" s="10"/>
      <c r="B116" s="20" t="s">
        <v>255</v>
      </c>
      <c r="C116" s="21"/>
      <c r="D116" s="21"/>
      <c r="E116" s="711"/>
      <c r="F116" s="712"/>
    </row>
    <row r="117" customHeight="1" spans="1:6">
      <c r="A117" s="10">
        <v>1</v>
      </c>
      <c r="B117" s="14" t="s">
        <v>163</v>
      </c>
      <c r="C117" s="4" t="s">
        <v>142</v>
      </c>
      <c r="D117" s="10" t="s">
        <v>49</v>
      </c>
      <c r="E117" s="704">
        <v>761396.833333333</v>
      </c>
      <c r="F117" s="705">
        <f>E117/2</f>
        <v>380698.416666667</v>
      </c>
    </row>
    <row r="118" ht="18.75" customHeight="1" spans="1:6">
      <c r="A118" s="10">
        <v>2</v>
      </c>
      <c r="B118" s="11" t="s">
        <v>257</v>
      </c>
      <c r="C118" s="4" t="s">
        <v>258</v>
      </c>
      <c r="D118" s="15" t="s">
        <v>69</v>
      </c>
      <c r="E118" s="704">
        <v>487895.166666667</v>
      </c>
      <c r="F118" s="705">
        <f>E118/2</f>
        <v>243947.583333333</v>
      </c>
    </row>
    <row r="119" customHeight="1" spans="1:6">
      <c r="A119" s="10">
        <v>3</v>
      </c>
      <c r="B119" s="11" t="s">
        <v>190</v>
      </c>
      <c r="C119" s="12" t="s">
        <v>191</v>
      </c>
      <c r="D119" s="15" t="s">
        <v>66</v>
      </c>
      <c r="E119" s="704">
        <v>460248.916666667</v>
      </c>
      <c r="F119" s="705">
        <f>E119/2</f>
        <v>230124.458333333</v>
      </c>
    </row>
    <row r="120" ht="24.75" customHeight="1" spans="1:6">
      <c r="A120" s="4"/>
      <c r="B120" s="20" t="s">
        <v>120</v>
      </c>
      <c r="C120" s="21">
        <v>2</v>
      </c>
      <c r="D120" s="26"/>
      <c r="E120" s="709">
        <v>1709540.91666667</v>
      </c>
      <c r="F120" s="710">
        <f>SUM(F117:F119)</f>
        <v>854770.458333333</v>
      </c>
    </row>
    <row r="121" ht="24.75" customHeight="1" spans="1:6">
      <c r="A121" s="4"/>
      <c r="B121" s="20"/>
      <c r="C121" s="21"/>
      <c r="D121" s="26"/>
      <c r="E121" s="709"/>
      <c r="F121" s="710"/>
    </row>
    <row r="122" ht="24.75" customHeight="1" spans="1:6">
      <c r="A122" s="10"/>
      <c r="B122" s="20" t="s">
        <v>267</v>
      </c>
      <c r="C122" s="21"/>
      <c r="D122" s="21"/>
      <c r="E122" s="711"/>
      <c r="F122" s="712"/>
    </row>
    <row r="123" ht="24.75" customHeight="1" spans="1:6">
      <c r="A123" s="10">
        <v>1</v>
      </c>
      <c r="B123" s="14" t="s">
        <v>930</v>
      </c>
      <c r="C123" s="4" t="s">
        <v>931</v>
      </c>
      <c r="D123" s="10" t="s">
        <v>276</v>
      </c>
      <c r="E123" s="704">
        <v>268287.583333333</v>
      </c>
      <c r="F123" s="705">
        <f>E123/2</f>
        <v>134143.791666667</v>
      </c>
    </row>
    <row r="124" ht="24.75" customHeight="1" spans="1:6">
      <c r="A124" s="10">
        <v>2</v>
      </c>
      <c r="B124" s="11" t="s">
        <v>272</v>
      </c>
      <c r="C124" s="4" t="s">
        <v>273</v>
      </c>
      <c r="D124" s="10" t="s">
        <v>276</v>
      </c>
      <c r="E124" s="704">
        <v>268287.583333333</v>
      </c>
      <c r="F124" s="705">
        <f>E124/2</f>
        <v>134143.791666667</v>
      </c>
    </row>
    <row r="125" ht="24.75" customHeight="1" spans="1:6">
      <c r="A125" s="10">
        <v>3</v>
      </c>
      <c r="B125" s="11" t="s">
        <v>277</v>
      </c>
      <c r="C125" s="4" t="s">
        <v>278</v>
      </c>
      <c r="D125" s="10" t="s">
        <v>276</v>
      </c>
      <c r="E125" s="704">
        <v>268287.583333333</v>
      </c>
      <c r="F125" s="705">
        <f>E125/2</f>
        <v>134143.791666667</v>
      </c>
    </row>
    <row r="126" customHeight="1" spans="1:6">
      <c r="A126" s="4"/>
      <c r="B126" s="20" t="s">
        <v>120</v>
      </c>
      <c r="C126" s="21">
        <v>3</v>
      </c>
      <c r="D126" s="26"/>
      <c r="E126" s="709">
        <v>804862.749999999</v>
      </c>
      <c r="F126" s="710">
        <f>SUM(F123:F125)</f>
        <v>402431.375</v>
      </c>
    </row>
    <row r="127" customHeight="1" spans="1:6">
      <c r="A127" s="4"/>
      <c r="B127" s="20"/>
      <c r="C127" s="21"/>
      <c r="D127" s="26"/>
      <c r="E127" s="709"/>
      <c r="F127" s="710"/>
    </row>
    <row r="128" customHeight="1" spans="1:6">
      <c r="A128" s="4"/>
      <c r="B128" s="20" t="s">
        <v>279</v>
      </c>
      <c r="C128" s="21"/>
      <c r="D128" s="21"/>
      <c r="E128" s="711"/>
      <c r="F128" s="712"/>
    </row>
    <row r="129" customHeight="1" spans="1:6">
      <c r="A129" s="4">
        <v>1</v>
      </c>
      <c r="B129" s="11" t="s">
        <v>280</v>
      </c>
      <c r="C129" s="12" t="s">
        <v>281</v>
      </c>
      <c r="D129" s="15" t="s">
        <v>124</v>
      </c>
      <c r="E129" s="704">
        <v>1635720</v>
      </c>
      <c r="F129" s="705">
        <f>E129/2</f>
        <v>817860</v>
      </c>
    </row>
    <row r="130" customHeight="1" spans="1:6">
      <c r="A130" s="4">
        <v>2</v>
      </c>
      <c r="B130" s="11" t="s">
        <v>282</v>
      </c>
      <c r="C130" s="12" t="s">
        <v>558</v>
      </c>
      <c r="D130" s="15" t="s">
        <v>207</v>
      </c>
      <c r="E130" s="704">
        <v>929203.583333333</v>
      </c>
      <c r="F130" s="705">
        <f t="shared" ref="F130:F138" si="6">E130/2</f>
        <v>464601.791666667</v>
      </c>
    </row>
    <row r="131" customHeight="1" spans="1:6">
      <c r="A131" s="4">
        <v>3</v>
      </c>
      <c r="B131" s="14" t="s">
        <v>284</v>
      </c>
      <c r="C131" s="12" t="s">
        <v>559</v>
      </c>
      <c r="D131" s="15" t="s">
        <v>38</v>
      </c>
      <c r="E131" s="704">
        <v>830675.583333333</v>
      </c>
      <c r="F131" s="705">
        <f t="shared" si="6"/>
        <v>415337.791666667</v>
      </c>
    </row>
    <row r="132" customHeight="1" spans="1:6">
      <c r="A132" s="4">
        <v>4</v>
      </c>
      <c r="B132" s="11" t="s">
        <v>287</v>
      </c>
      <c r="C132" s="12" t="s">
        <v>289</v>
      </c>
      <c r="D132" s="15" t="s">
        <v>46</v>
      </c>
      <c r="E132" s="704">
        <v>540498</v>
      </c>
      <c r="F132" s="705">
        <f t="shared" si="6"/>
        <v>270249</v>
      </c>
    </row>
    <row r="133" customHeight="1" spans="1:6">
      <c r="A133" s="4">
        <v>5</v>
      </c>
      <c r="B133" s="11" t="s">
        <v>288</v>
      </c>
      <c r="C133" s="12" t="s">
        <v>560</v>
      </c>
      <c r="D133" s="15" t="s">
        <v>52</v>
      </c>
      <c r="E133" s="704">
        <v>512746.5</v>
      </c>
      <c r="F133" s="705">
        <f t="shared" si="6"/>
        <v>256373.25</v>
      </c>
    </row>
    <row r="134" customHeight="1" spans="1:6">
      <c r="A134" s="4">
        <v>6</v>
      </c>
      <c r="B134" s="11" t="s">
        <v>290</v>
      </c>
      <c r="C134" s="12" t="s">
        <v>289</v>
      </c>
      <c r="D134" s="15" t="s">
        <v>212</v>
      </c>
      <c r="E134" s="704">
        <v>526622.25</v>
      </c>
      <c r="F134" s="705">
        <f t="shared" si="6"/>
        <v>263311.125</v>
      </c>
    </row>
    <row r="135" customHeight="1" spans="1:6">
      <c r="A135" s="4">
        <v>7</v>
      </c>
      <c r="B135" s="11" t="s">
        <v>293</v>
      </c>
      <c r="C135" s="12" t="s">
        <v>561</v>
      </c>
      <c r="D135" s="10" t="s">
        <v>88</v>
      </c>
      <c r="E135" s="704">
        <v>330481.666666667</v>
      </c>
      <c r="F135" s="705">
        <f t="shared" si="6"/>
        <v>165240.833333333</v>
      </c>
    </row>
    <row r="136" customHeight="1" spans="1:6">
      <c r="A136" s="4">
        <v>8</v>
      </c>
      <c r="B136" s="18" t="s">
        <v>295</v>
      </c>
      <c r="C136" s="12" t="s">
        <v>296</v>
      </c>
      <c r="D136" s="15" t="s">
        <v>111</v>
      </c>
      <c r="E136" s="704">
        <v>274459.75</v>
      </c>
      <c r="F136" s="705">
        <f t="shared" si="6"/>
        <v>137229.875</v>
      </c>
    </row>
    <row r="137" customHeight="1" spans="1:6">
      <c r="A137" s="4">
        <v>9</v>
      </c>
      <c r="B137" s="18" t="s">
        <v>297</v>
      </c>
      <c r="C137" s="12" t="s">
        <v>292</v>
      </c>
      <c r="D137" s="15" t="s">
        <v>111</v>
      </c>
      <c r="E137" s="704">
        <v>274459.75</v>
      </c>
      <c r="F137" s="705">
        <f t="shared" si="6"/>
        <v>137229.875</v>
      </c>
    </row>
    <row r="138" customHeight="1" spans="1:6">
      <c r="A138" s="4">
        <v>10</v>
      </c>
      <c r="B138" s="18" t="s">
        <v>298</v>
      </c>
      <c r="C138" s="12" t="s">
        <v>296</v>
      </c>
      <c r="D138" s="15" t="s">
        <v>276</v>
      </c>
      <c r="E138" s="704">
        <v>268287.583333333</v>
      </c>
      <c r="F138" s="705">
        <f t="shared" si="6"/>
        <v>134143.791666667</v>
      </c>
    </row>
    <row r="139" ht="28.5" customHeight="1" spans="1:6">
      <c r="A139" s="4"/>
      <c r="B139" s="20" t="s">
        <v>120</v>
      </c>
      <c r="C139" s="26" t="s">
        <v>562</v>
      </c>
      <c r="D139" s="15"/>
      <c r="E139" s="711">
        <v>6123154.66666667</v>
      </c>
      <c r="F139" s="712">
        <f>SUM(F129:F138)</f>
        <v>3061577.33333333</v>
      </c>
    </row>
    <row r="140" customHeight="1" spans="1:6">
      <c r="A140" s="4"/>
      <c r="B140" s="22"/>
      <c r="C140" s="26"/>
      <c r="D140" s="15"/>
      <c r="E140" s="711"/>
      <c r="F140" s="712"/>
    </row>
    <row r="141" customHeight="1" spans="1:6">
      <c r="A141" s="4"/>
      <c r="B141" s="20" t="s">
        <v>300</v>
      </c>
      <c r="C141" s="12"/>
      <c r="D141" s="15"/>
      <c r="E141" s="704"/>
      <c r="F141" s="705"/>
    </row>
    <row r="142" customHeight="1" spans="1:6">
      <c r="A142" s="27">
        <v>1</v>
      </c>
      <c r="B142" s="11" t="s">
        <v>856</v>
      </c>
      <c r="C142" s="12" t="s">
        <v>857</v>
      </c>
      <c r="D142" s="15" t="s">
        <v>124</v>
      </c>
      <c r="E142" s="704">
        <v>1535720</v>
      </c>
      <c r="F142" s="705">
        <f>E142/2</f>
        <v>767860</v>
      </c>
    </row>
    <row r="143" customHeight="1" spans="1:6">
      <c r="A143" s="27">
        <v>2</v>
      </c>
      <c r="B143" s="14" t="s">
        <v>304</v>
      </c>
      <c r="C143" s="4" t="s">
        <v>305</v>
      </c>
      <c r="D143" s="16" t="s">
        <v>35</v>
      </c>
      <c r="E143" s="704">
        <v>902373.166666667</v>
      </c>
      <c r="F143" s="705">
        <f t="shared" ref="F143:F174" si="7">E143/2</f>
        <v>451186.583333333</v>
      </c>
    </row>
    <row r="144" customHeight="1" spans="1:6">
      <c r="A144" s="27">
        <v>3</v>
      </c>
      <c r="B144" s="11" t="s">
        <v>306</v>
      </c>
      <c r="C144" s="12" t="s">
        <v>307</v>
      </c>
      <c r="D144" s="15" t="s">
        <v>41</v>
      </c>
      <c r="E144" s="704">
        <v>662118.083333333</v>
      </c>
      <c r="F144" s="705">
        <f t="shared" si="7"/>
        <v>331059.041666667</v>
      </c>
    </row>
    <row r="145" customHeight="1" spans="1:6">
      <c r="A145" s="27">
        <v>4</v>
      </c>
      <c r="B145" s="11" t="s">
        <v>308</v>
      </c>
      <c r="C145" s="4" t="s">
        <v>309</v>
      </c>
      <c r="D145" s="15" t="s">
        <v>41</v>
      </c>
      <c r="E145" s="704">
        <v>662119.083333333</v>
      </c>
      <c r="F145" s="705">
        <f t="shared" si="7"/>
        <v>331059.541666667</v>
      </c>
    </row>
    <row r="146" customHeight="1" spans="1:6">
      <c r="A146" s="27">
        <v>5</v>
      </c>
      <c r="B146" s="11" t="s">
        <v>310</v>
      </c>
      <c r="C146" s="4" t="s">
        <v>309</v>
      </c>
      <c r="D146" s="15" t="s">
        <v>41</v>
      </c>
      <c r="E146" s="704">
        <v>662120.083333333</v>
      </c>
      <c r="F146" s="705">
        <f t="shared" si="7"/>
        <v>331060.041666667</v>
      </c>
    </row>
    <row r="147" customHeight="1" spans="1:6">
      <c r="A147" s="27">
        <v>6</v>
      </c>
      <c r="B147" s="11" t="s">
        <v>229</v>
      </c>
      <c r="C147" s="12" t="s">
        <v>230</v>
      </c>
      <c r="D147" s="15" t="s">
        <v>66</v>
      </c>
      <c r="E147" s="704">
        <v>460248.916666667</v>
      </c>
      <c r="F147" s="705">
        <f t="shared" si="7"/>
        <v>230124.458333333</v>
      </c>
    </row>
    <row r="148" customHeight="1" spans="1:6">
      <c r="A148" s="27">
        <v>7</v>
      </c>
      <c r="B148" s="11" t="s">
        <v>313</v>
      </c>
      <c r="C148" s="12" t="s">
        <v>230</v>
      </c>
      <c r="D148" s="15" t="s">
        <v>66</v>
      </c>
      <c r="E148" s="704">
        <v>460248.916666667</v>
      </c>
      <c r="F148" s="705">
        <f t="shared" si="7"/>
        <v>230124.458333333</v>
      </c>
    </row>
    <row r="149" customHeight="1" spans="1:6">
      <c r="A149" s="27">
        <v>8</v>
      </c>
      <c r="B149" s="11" t="s">
        <v>314</v>
      </c>
      <c r="C149" s="4" t="s">
        <v>563</v>
      </c>
      <c r="D149" s="15" t="s">
        <v>66</v>
      </c>
      <c r="E149" s="704">
        <v>460248.916666667</v>
      </c>
      <c r="F149" s="705">
        <f t="shared" si="7"/>
        <v>230124.458333333</v>
      </c>
    </row>
    <row r="150" customHeight="1" spans="1:6">
      <c r="A150" s="27">
        <v>9</v>
      </c>
      <c r="B150" s="11" t="s">
        <v>316</v>
      </c>
      <c r="C150" s="12" t="s">
        <v>564</v>
      </c>
      <c r="D150" s="15" t="s">
        <v>69</v>
      </c>
      <c r="E150" s="704">
        <v>437895.166666667</v>
      </c>
      <c r="F150" s="705">
        <f t="shared" si="7"/>
        <v>218947.583333333</v>
      </c>
    </row>
    <row r="151" customHeight="1" spans="1:6">
      <c r="A151" s="27">
        <v>10</v>
      </c>
      <c r="B151" s="11" t="s">
        <v>318</v>
      </c>
      <c r="C151" s="12" t="s">
        <v>319</v>
      </c>
      <c r="D151" s="15" t="s">
        <v>131</v>
      </c>
      <c r="E151" s="704">
        <v>425703.833333333</v>
      </c>
      <c r="F151" s="705">
        <f t="shared" si="7"/>
        <v>212851.916666667</v>
      </c>
    </row>
    <row r="152" customHeight="1" spans="1:6">
      <c r="A152" s="27">
        <v>11</v>
      </c>
      <c r="B152" s="11" t="s">
        <v>61</v>
      </c>
      <c r="C152" s="12" t="s">
        <v>863</v>
      </c>
      <c r="D152" s="15" t="s">
        <v>170</v>
      </c>
      <c r="E152" s="704">
        <v>450086.5</v>
      </c>
      <c r="F152" s="705">
        <f t="shared" si="7"/>
        <v>225043.25</v>
      </c>
    </row>
    <row r="153" customHeight="1" spans="1:6">
      <c r="A153" s="27">
        <v>12</v>
      </c>
      <c r="B153" s="18" t="s">
        <v>320</v>
      </c>
      <c r="C153" s="4" t="s">
        <v>321</v>
      </c>
      <c r="D153" s="15" t="s">
        <v>504</v>
      </c>
      <c r="E153" s="714">
        <v>413512.5</v>
      </c>
      <c r="F153" s="705">
        <f t="shared" si="7"/>
        <v>206756.25</v>
      </c>
    </row>
    <row r="154" customHeight="1" spans="1:6">
      <c r="A154" s="27">
        <v>13</v>
      </c>
      <c r="B154" s="11" t="s">
        <v>322</v>
      </c>
      <c r="C154" s="4" t="s">
        <v>321</v>
      </c>
      <c r="D154" s="15" t="s">
        <v>504</v>
      </c>
      <c r="E154" s="714">
        <v>413512.5</v>
      </c>
      <c r="F154" s="705">
        <f t="shared" si="7"/>
        <v>206756.25</v>
      </c>
    </row>
    <row r="155" customHeight="1" spans="1:6">
      <c r="A155" s="27">
        <v>14</v>
      </c>
      <c r="B155" s="11" t="s">
        <v>323</v>
      </c>
      <c r="C155" s="4" t="s">
        <v>321</v>
      </c>
      <c r="D155" s="15" t="s">
        <v>504</v>
      </c>
      <c r="E155" s="714">
        <v>413512.5</v>
      </c>
      <c r="F155" s="705">
        <f t="shared" si="7"/>
        <v>206756.25</v>
      </c>
    </row>
    <row r="156" customHeight="1" spans="1:6">
      <c r="A156" s="27">
        <v>15</v>
      </c>
      <c r="B156" s="11" t="s">
        <v>325</v>
      </c>
      <c r="C156" s="4" t="s">
        <v>321</v>
      </c>
      <c r="D156" s="15" t="s">
        <v>504</v>
      </c>
      <c r="E156" s="714">
        <v>413512.5</v>
      </c>
      <c r="F156" s="705">
        <f t="shared" si="7"/>
        <v>206756.25</v>
      </c>
    </row>
    <row r="157" customHeight="1" spans="1:6">
      <c r="A157" s="27">
        <v>16</v>
      </c>
      <c r="B157" s="11" t="s">
        <v>326</v>
      </c>
      <c r="C157" s="12" t="s">
        <v>327</v>
      </c>
      <c r="D157" s="15" t="s">
        <v>74</v>
      </c>
      <c r="E157" s="714">
        <v>360965.583333333</v>
      </c>
      <c r="F157" s="705">
        <f t="shared" si="7"/>
        <v>180482.791666667</v>
      </c>
    </row>
    <row r="158" customHeight="1" spans="1:6">
      <c r="A158" s="27">
        <v>17</v>
      </c>
      <c r="B158" s="11" t="s">
        <v>328</v>
      </c>
      <c r="C158" s="12" t="s">
        <v>329</v>
      </c>
      <c r="D158" s="10" t="s">
        <v>99</v>
      </c>
      <c r="E158" s="704">
        <v>323165.333333333</v>
      </c>
      <c r="F158" s="705">
        <f t="shared" si="7"/>
        <v>161582.666666667</v>
      </c>
    </row>
    <row r="159" customHeight="1" spans="1:6">
      <c r="A159" s="27">
        <v>18</v>
      </c>
      <c r="B159" s="11" t="s">
        <v>330</v>
      </c>
      <c r="C159" s="12" t="s">
        <v>565</v>
      </c>
      <c r="D159" s="15" t="s">
        <v>77</v>
      </c>
      <c r="E159" s="714">
        <v>368901.5</v>
      </c>
      <c r="F159" s="705">
        <f t="shared" si="7"/>
        <v>184450.75</v>
      </c>
    </row>
    <row r="160" customHeight="1" spans="1:6">
      <c r="A160" s="27">
        <v>19</v>
      </c>
      <c r="B160" s="11" t="s">
        <v>332</v>
      </c>
      <c r="C160" s="12" t="s">
        <v>566</v>
      </c>
      <c r="D160" s="15" t="s">
        <v>88</v>
      </c>
      <c r="E160" s="714">
        <v>330481.666666667</v>
      </c>
      <c r="F160" s="705">
        <f t="shared" si="7"/>
        <v>165240.833333333</v>
      </c>
    </row>
    <row r="161" customHeight="1" spans="1:6">
      <c r="A161" s="27">
        <v>20</v>
      </c>
      <c r="B161" s="11" t="s">
        <v>334</v>
      </c>
      <c r="C161" s="12" t="s">
        <v>567</v>
      </c>
      <c r="D161" s="15" t="s">
        <v>77</v>
      </c>
      <c r="E161" s="714">
        <v>368901.5</v>
      </c>
      <c r="F161" s="705">
        <f t="shared" si="7"/>
        <v>184450.75</v>
      </c>
    </row>
    <row r="162" customHeight="1" spans="1:6">
      <c r="A162" s="27">
        <v>21</v>
      </c>
      <c r="B162" s="11" t="s">
        <v>335</v>
      </c>
      <c r="C162" s="12" t="s">
        <v>568</v>
      </c>
      <c r="D162" s="15" t="s">
        <v>88</v>
      </c>
      <c r="E162" s="714">
        <v>330481.666666667</v>
      </c>
      <c r="F162" s="705">
        <f t="shared" si="7"/>
        <v>165240.833333333</v>
      </c>
    </row>
    <row r="163" customHeight="1" spans="1:6">
      <c r="A163" s="27">
        <v>22</v>
      </c>
      <c r="B163" s="18" t="s">
        <v>337</v>
      </c>
      <c r="C163" s="12" t="s">
        <v>338</v>
      </c>
      <c r="D163" s="15" t="s">
        <v>344</v>
      </c>
      <c r="E163" s="714">
        <v>315849</v>
      </c>
      <c r="F163" s="705">
        <f t="shared" si="7"/>
        <v>157924.5</v>
      </c>
    </row>
    <row r="164" customHeight="1" spans="1:6">
      <c r="A164" s="27">
        <v>23</v>
      </c>
      <c r="B164" s="18" t="s">
        <v>339</v>
      </c>
      <c r="C164" s="12" t="s">
        <v>338</v>
      </c>
      <c r="D164" s="15" t="s">
        <v>344</v>
      </c>
      <c r="E164" s="714">
        <v>315849</v>
      </c>
      <c r="F164" s="705">
        <f t="shared" si="7"/>
        <v>157924.5</v>
      </c>
    </row>
    <row r="165" customHeight="1" spans="1:6">
      <c r="A165" s="27">
        <v>24</v>
      </c>
      <c r="B165" s="18" t="s">
        <v>345</v>
      </c>
      <c r="C165" s="12" t="s">
        <v>346</v>
      </c>
      <c r="D165" s="15" t="s">
        <v>111</v>
      </c>
      <c r="E165" s="704">
        <v>274459.75</v>
      </c>
      <c r="F165" s="705">
        <f t="shared" si="7"/>
        <v>137229.875</v>
      </c>
    </row>
    <row r="166" customHeight="1" spans="1:6">
      <c r="A166" s="27">
        <v>25</v>
      </c>
      <c r="B166" s="18" t="s">
        <v>347</v>
      </c>
      <c r="C166" s="12" t="s">
        <v>348</v>
      </c>
      <c r="D166" s="15" t="s">
        <v>111</v>
      </c>
      <c r="E166" s="704">
        <v>274459.75</v>
      </c>
      <c r="F166" s="705">
        <f t="shared" si="7"/>
        <v>137229.875</v>
      </c>
    </row>
    <row r="167" customHeight="1" spans="1:6">
      <c r="A167" s="27">
        <v>26</v>
      </c>
      <c r="B167" s="18" t="s">
        <v>349</v>
      </c>
      <c r="C167" s="12" t="s">
        <v>350</v>
      </c>
      <c r="D167" s="15" t="s">
        <v>111</v>
      </c>
      <c r="E167" s="704">
        <v>274459.75</v>
      </c>
      <c r="F167" s="705">
        <f t="shared" si="7"/>
        <v>137229.875</v>
      </c>
    </row>
    <row r="168" customHeight="1" spans="1:6">
      <c r="A168" s="27">
        <v>27</v>
      </c>
      <c r="B168" s="18" t="s">
        <v>351</v>
      </c>
      <c r="C168" s="12" t="s">
        <v>569</v>
      </c>
      <c r="D168" s="15" t="s">
        <v>108</v>
      </c>
      <c r="E168" s="704">
        <v>280631.916666667</v>
      </c>
      <c r="F168" s="705">
        <f t="shared" si="7"/>
        <v>140315.958333333</v>
      </c>
    </row>
    <row r="169" customHeight="1" spans="1:6">
      <c r="A169" s="27">
        <v>28</v>
      </c>
      <c r="B169" s="18" t="s">
        <v>352</v>
      </c>
      <c r="C169" s="12" t="s">
        <v>348</v>
      </c>
      <c r="D169" s="15" t="s">
        <v>111</v>
      </c>
      <c r="E169" s="704">
        <v>274459.75</v>
      </c>
      <c r="F169" s="705">
        <f t="shared" si="7"/>
        <v>137229.875</v>
      </c>
    </row>
    <row r="170" customHeight="1" spans="1:6">
      <c r="A170" s="27">
        <v>29</v>
      </c>
      <c r="B170" s="18" t="s">
        <v>353</v>
      </c>
      <c r="C170" s="12" t="s">
        <v>354</v>
      </c>
      <c r="D170" s="15" t="s">
        <v>276</v>
      </c>
      <c r="E170" s="706">
        <v>268287.583333333</v>
      </c>
      <c r="F170" s="705">
        <f t="shared" si="7"/>
        <v>134143.791666667</v>
      </c>
    </row>
    <row r="171" customHeight="1" spans="1:6">
      <c r="A171" s="27">
        <v>30</v>
      </c>
      <c r="B171" s="18" t="s">
        <v>355</v>
      </c>
      <c r="C171" s="12" t="s">
        <v>354</v>
      </c>
      <c r="D171" s="15" t="s">
        <v>276</v>
      </c>
      <c r="E171" s="706">
        <v>268287.583333333</v>
      </c>
      <c r="F171" s="705">
        <f t="shared" si="7"/>
        <v>134143.791666667</v>
      </c>
    </row>
    <row r="172" customHeight="1" spans="1:6">
      <c r="A172" s="27">
        <v>31</v>
      </c>
      <c r="B172" s="11" t="s">
        <v>361</v>
      </c>
      <c r="C172" s="12" t="s">
        <v>362</v>
      </c>
      <c r="D172" s="15" t="s">
        <v>388</v>
      </c>
      <c r="E172" s="706">
        <v>202598.166666667</v>
      </c>
      <c r="F172" s="705">
        <f t="shared" si="7"/>
        <v>101299.083333334</v>
      </c>
    </row>
    <row r="173" customHeight="1" spans="1:6">
      <c r="A173" s="27">
        <v>32</v>
      </c>
      <c r="B173" s="11" t="s">
        <v>364</v>
      </c>
      <c r="C173" s="12" t="s">
        <v>362</v>
      </c>
      <c r="D173" s="15" t="s">
        <v>388</v>
      </c>
      <c r="E173" s="706">
        <v>205598.166666667</v>
      </c>
      <c r="F173" s="705">
        <f t="shared" si="7"/>
        <v>102799.083333334</v>
      </c>
    </row>
    <row r="174" customHeight="1" spans="1:6">
      <c r="A174" s="27">
        <v>33</v>
      </c>
      <c r="B174" s="11" t="s">
        <v>570</v>
      </c>
      <c r="C174" s="12" t="s">
        <v>362</v>
      </c>
      <c r="D174" s="15" t="s">
        <v>388</v>
      </c>
      <c r="E174" s="706">
        <v>202598.166666667</v>
      </c>
      <c r="F174" s="705">
        <f t="shared" si="7"/>
        <v>101299.083333334</v>
      </c>
    </row>
    <row r="175" customHeight="1" spans="1:6">
      <c r="A175" s="27">
        <v>34</v>
      </c>
      <c r="B175" s="11" t="s">
        <v>365</v>
      </c>
      <c r="C175" s="12" t="s">
        <v>362</v>
      </c>
      <c r="D175" s="15" t="s">
        <v>388</v>
      </c>
      <c r="E175" s="706">
        <v>202598.166666667</v>
      </c>
      <c r="F175" s="705">
        <f t="shared" ref="F175:F203" si="8">E175/2</f>
        <v>101299.083333334</v>
      </c>
    </row>
    <row r="176" customHeight="1" spans="1:6">
      <c r="A176" s="27">
        <v>35</v>
      </c>
      <c r="B176" s="11" t="s">
        <v>366</v>
      </c>
      <c r="C176" s="12" t="s">
        <v>362</v>
      </c>
      <c r="D176" s="15" t="s">
        <v>388</v>
      </c>
      <c r="E176" s="706">
        <v>202598.166666667</v>
      </c>
      <c r="F176" s="705">
        <f t="shared" si="8"/>
        <v>101299.083333334</v>
      </c>
    </row>
    <row r="177" customHeight="1" spans="1:6">
      <c r="A177" s="27">
        <v>36</v>
      </c>
      <c r="B177" s="11" t="s">
        <v>367</v>
      </c>
      <c r="C177" s="12" t="s">
        <v>362</v>
      </c>
      <c r="D177" s="15" t="s">
        <v>381</v>
      </c>
      <c r="E177" s="706">
        <v>200336.833333333</v>
      </c>
      <c r="F177" s="705">
        <f t="shared" si="8"/>
        <v>100168.416666666</v>
      </c>
    </row>
    <row r="178" customHeight="1" spans="1:6">
      <c r="A178" s="27">
        <v>37</v>
      </c>
      <c r="B178" s="11" t="s">
        <v>369</v>
      </c>
      <c r="C178" s="12" t="s">
        <v>362</v>
      </c>
      <c r="D178" s="15" t="s">
        <v>381</v>
      </c>
      <c r="E178" s="706">
        <v>197336.833333333</v>
      </c>
      <c r="F178" s="705">
        <f t="shared" si="8"/>
        <v>98668.4166666665</v>
      </c>
    </row>
    <row r="179" customHeight="1" spans="1:6">
      <c r="A179" s="27">
        <v>38</v>
      </c>
      <c r="B179" s="14" t="s">
        <v>370</v>
      </c>
      <c r="C179" s="12" t="s">
        <v>362</v>
      </c>
      <c r="D179" s="15" t="s">
        <v>381</v>
      </c>
      <c r="E179" s="706">
        <v>200336.833333333</v>
      </c>
      <c r="F179" s="705">
        <f t="shared" si="8"/>
        <v>100168.416666666</v>
      </c>
    </row>
    <row r="180" customHeight="1" spans="1:6">
      <c r="A180" s="27">
        <v>39</v>
      </c>
      <c r="B180" s="11" t="s">
        <v>371</v>
      </c>
      <c r="C180" s="12" t="s">
        <v>362</v>
      </c>
      <c r="D180" s="15" t="s">
        <v>381</v>
      </c>
      <c r="E180" s="706">
        <v>197336.833333333</v>
      </c>
      <c r="F180" s="705">
        <f t="shared" si="8"/>
        <v>98668.4166666665</v>
      </c>
    </row>
    <row r="181" customHeight="1" spans="1:6">
      <c r="A181" s="27">
        <v>40</v>
      </c>
      <c r="B181" s="18" t="s">
        <v>372</v>
      </c>
      <c r="C181" s="12" t="s">
        <v>362</v>
      </c>
      <c r="D181" s="15" t="s">
        <v>381</v>
      </c>
      <c r="E181" s="706">
        <v>197336.833333333</v>
      </c>
      <c r="F181" s="705">
        <f t="shared" si="8"/>
        <v>98668.4166666665</v>
      </c>
    </row>
    <row r="182" customHeight="1" spans="1:6">
      <c r="A182" s="27">
        <v>41</v>
      </c>
      <c r="B182" s="18" t="s">
        <v>359</v>
      </c>
      <c r="C182" s="12" t="s">
        <v>362</v>
      </c>
      <c r="D182" s="15" t="s">
        <v>381</v>
      </c>
      <c r="E182" s="706">
        <v>200336.833333333</v>
      </c>
      <c r="F182" s="705">
        <f t="shared" si="8"/>
        <v>100168.416666666</v>
      </c>
    </row>
    <row r="183" customHeight="1" spans="1:6">
      <c r="A183" s="27">
        <v>42</v>
      </c>
      <c r="B183" s="11" t="s">
        <v>373</v>
      </c>
      <c r="C183" s="12" t="s">
        <v>374</v>
      </c>
      <c r="D183" s="15" t="s">
        <v>511</v>
      </c>
      <c r="E183" s="704">
        <v>189814.166666667</v>
      </c>
      <c r="F183" s="705">
        <f t="shared" si="8"/>
        <v>94907.0833333335</v>
      </c>
    </row>
    <row r="184" customHeight="1" spans="1:6">
      <c r="A184" s="27">
        <v>43</v>
      </c>
      <c r="B184" s="11" t="s">
        <v>376</v>
      </c>
      <c r="C184" s="12" t="s">
        <v>374</v>
      </c>
      <c r="D184" s="15" t="s">
        <v>511</v>
      </c>
      <c r="E184" s="704">
        <v>189814.166666667</v>
      </c>
      <c r="F184" s="705">
        <f t="shared" si="8"/>
        <v>94907.0833333335</v>
      </c>
    </row>
    <row r="185" customHeight="1" spans="1:6">
      <c r="A185" s="27">
        <v>44</v>
      </c>
      <c r="B185" s="18" t="s">
        <v>377</v>
      </c>
      <c r="C185" s="12" t="s">
        <v>374</v>
      </c>
      <c r="D185" s="15" t="s">
        <v>510</v>
      </c>
      <c r="E185" s="704">
        <v>195075.5</v>
      </c>
      <c r="F185" s="705">
        <f t="shared" si="8"/>
        <v>97537.75</v>
      </c>
    </row>
    <row r="186" customHeight="1" spans="1:6">
      <c r="A186" s="27">
        <v>45</v>
      </c>
      <c r="B186" s="11" t="s">
        <v>379</v>
      </c>
      <c r="C186" s="12" t="s">
        <v>374</v>
      </c>
      <c r="D186" s="15" t="s">
        <v>511</v>
      </c>
      <c r="E186" s="704">
        <v>189814.166666667</v>
      </c>
      <c r="F186" s="705">
        <f t="shared" si="8"/>
        <v>94907.0833333335</v>
      </c>
    </row>
    <row r="187" customHeight="1" spans="1:6">
      <c r="A187" s="27">
        <v>46</v>
      </c>
      <c r="B187" s="11" t="s">
        <v>382</v>
      </c>
      <c r="C187" s="12" t="s">
        <v>390</v>
      </c>
      <c r="D187" s="15" t="s">
        <v>573</v>
      </c>
      <c r="E187" s="704">
        <v>118598</v>
      </c>
      <c r="F187" s="705">
        <f t="shared" si="8"/>
        <v>59299</v>
      </c>
    </row>
    <row r="188" customHeight="1" spans="1:6">
      <c r="A188" s="27">
        <v>47</v>
      </c>
      <c r="B188" s="11" t="s">
        <v>383</v>
      </c>
      <c r="C188" s="12" t="s">
        <v>390</v>
      </c>
      <c r="D188" s="15" t="s">
        <v>573</v>
      </c>
      <c r="E188" s="704">
        <v>115598</v>
      </c>
      <c r="F188" s="705">
        <f t="shared" si="8"/>
        <v>57799</v>
      </c>
    </row>
    <row r="189" customHeight="1" spans="1:6">
      <c r="A189" s="27">
        <v>48</v>
      </c>
      <c r="B189" s="11" t="s">
        <v>384</v>
      </c>
      <c r="C189" s="12" t="s">
        <v>390</v>
      </c>
      <c r="D189" s="15" t="s">
        <v>573</v>
      </c>
      <c r="E189" s="704">
        <v>118598</v>
      </c>
      <c r="F189" s="705">
        <f t="shared" si="8"/>
        <v>59299</v>
      </c>
    </row>
    <row r="190" customHeight="1" spans="1:6">
      <c r="A190" s="27">
        <v>49</v>
      </c>
      <c r="B190" s="11" t="s">
        <v>385</v>
      </c>
      <c r="C190" s="12" t="s">
        <v>390</v>
      </c>
      <c r="D190" s="15" t="s">
        <v>573</v>
      </c>
      <c r="E190" s="704">
        <v>115598</v>
      </c>
      <c r="F190" s="705">
        <f t="shared" si="8"/>
        <v>57799</v>
      </c>
    </row>
    <row r="191" customHeight="1" spans="1:6">
      <c r="A191" s="27">
        <v>50</v>
      </c>
      <c r="B191" s="11" t="s">
        <v>386</v>
      </c>
      <c r="C191" s="12" t="s">
        <v>390</v>
      </c>
      <c r="D191" s="15" t="s">
        <v>573</v>
      </c>
      <c r="E191" s="704">
        <v>118598</v>
      </c>
      <c r="F191" s="705">
        <f t="shared" si="8"/>
        <v>59299</v>
      </c>
    </row>
    <row r="192" customHeight="1" spans="1:6">
      <c r="A192" s="27">
        <v>51</v>
      </c>
      <c r="B192" s="18" t="s">
        <v>387</v>
      </c>
      <c r="C192" s="12" t="s">
        <v>390</v>
      </c>
      <c r="D192" s="15" t="s">
        <v>573</v>
      </c>
      <c r="E192" s="704">
        <v>115598</v>
      </c>
      <c r="F192" s="705">
        <f t="shared" si="8"/>
        <v>57799</v>
      </c>
    </row>
    <row r="193" customHeight="1" spans="1:6">
      <c r="A193" s="27">
        <v>52</v>
      </c>
      <c r="B193" s="18" t="s">
        <v>389</v>
      </c>
      <c r="C193" s="12" t="s">
        <v>390</v>
      </c>
      <c r="D193" s="15" t="s">
        <v>573</v>
      </c>
      <c r="E193" s="704">
        <v>118598</v>
      </c>
      <c r="F193" s="705">
        <f t="shared" si="8"/>
        <v>59299</v>
      </c>
    </row>
    <row r="194" customHeight="1" spans="1:6">
      <c r="A194" s="27">
        <v>53</v>
      </c>
      <c r="B194" s="11" t="s">
        <v>572</v>
      </c>
      <c r="C194" s="12" t="s">
        <v>393</v>
      </c>
      <c r="D194" s="15" t="s">
        <v>573</v>
      </c>
      <c r="E194" s="704">
        <v>118598</v>
      </c>
      <c r="F194" s="705">
        <f t="shared" si="8"/>
        <v>59299</v>
      </c>
    </row>
    <row r="195" customHeight="1" spans="1:6">
      <c r="A195" s="27">
        <v>54</v>
      </c>
      <c r="B195" s="11" t="s">
        <v>392</v>
      </c>
      <c r="C195" s="12" t="s">
        <v>393</v>
      </c>
      <c r="D195" s="15" t="s">
        <v>573</v>
      </c>
      <c r="E195" s="704">
        <v>118598</v>
      </c>
      <c r="F195" s="705">
        <f t="shared" si="8"/>
        <v>59299</v>
      </c>
    </row>
    <row r="196" customHeight="1" spans="1:6">
      <c r="A196" s="27">
        <v>55</v>
      </c>
      <c r="B196" s="18" t="s">
        <v>360</v>
      </c>
      <c r="C196" s="12" t="s">
        <v>395</v>
      </c>
      <c r="D196" s="15" t="s">
        <v>396</v>
      </c>
      <c r="E196" s="704">
        <v>116050.25</v>
      </c>
      <c r="F196" s="705">
        <f t="shared" si="8"/>
        <v>58025.125</v>
      </c>
    </row>
    <row r="197" customHeight="1" spans="1:6">
      <c r="A197" s="27">
        <v>56</v>
      </c>
      <c r="B197" s="18" t="s">
        <v>394</v>
      </c>
      <c r="C197" s="12" t="s">
        <v>395</v>
      </c>
      <c r="D197" s="15" t="s">
        <v>400</v>
      </c>
      <c r="E197" s="704">
        <v>322950.322580645</v>
      </c>
      <c r="F197" s="705">
        <f t="shared" si="8"/>
        <v>161475.161290322</v>
      </c>
    </row>
    <row r="198" customHeight="1" spans="1:6">
      <c r="A198" s="27">
        <v>57</v>
      </c>
      <c r="B198" s="18" t="s">
        <v>397</v>
      </c>
      <c r="C198" s="12" t="s">
        <v>374</v>
      </c>
      <c r="D198" s="15" t="s">
        <v>511</v>
      </c>
      <c r="E198" s="704">
        <v>174814.166666667</v>
      </c>
      <c r="F198" s="705">
        <f t="shared" si="8"/>
        <v>87407.0833333335</v>
      </c>
    </row>
    <row r="199" customHeight="1" spans="1:6">
      <c r="A199" s="27">
        <v>58</v>
      </c>
      <c r="B199" s="18" t="s">
        <v>401</v>
      </c>
      <c r="C199" s="12" t="s">
        <v>402</v>
      </c>
      <c r="D199" s="15" t="s">
        <v>865</v>
      </c>
      <c r="E199" s="704">
        <v>95540.75</v>
      </c>
      <c r="F199" s="705">
        <f t="shared" si="8"/>
        <v>47770.375</v>
      </c>
    </row>
    <row r="200" customHeight="1" spans="1:6">
      <c r="A200" s="27">
        <v>59</v>
      </c>
      <c r="B200" s="18" t="s">
        <v>404</v>
      </c>
      <c r="C200" s="12" t="s">
        <v>402</v>
      </c>
      <c r="D200" s="15" t="s">
        <v>865</v>
      </c>
      <c r="E200" s="704">
        <v>95540.75</v>
      </c>
      <c r="F200" s="705">
        <f t="shared" si="8"/>
        <v>47770.375</v>
      </c>
    </row>
    <row r="201" customHeight="1" spans="1:6">
      <c r="A201" s="27">
        <v>60</v>
      </c>
      <c r="B201" s="18" t="s">
        <v>405</v>
      </c>
      <c r="C201" s="12" t="s">
        <v>402</v>
      </c>
      <c r="D201" s="15" t="s">
        <v>865</v>
      </c>
      <c r="E201" s="704">
        <v>95540.75</v>
      </c>
      <c r="F201" s="705">
        <f t="shared" si="8"/>
        <v>47770.375</v>
      </c>
    </row>
    <row r="202" customHeight="1" spans="1:6">
      <c r="A202" s="27">
        <v>61</v>
      </c>
      <c r="B202" s="18" t="s">
        <v>406</v>
      </c>
      <c r="C202" s="12" t="s">
        <v>407</v>
      </c>
      <c r="D202" s="15" t="s">
        <v>398</v>
      </c>
      <c r="E202" s="704">
        <v>108502.5</v>
      </c>
      <c r="F202" s="705">
        <f t="shared" si="8"/>
        <v>54251.25</v>
      </c>
    </row>
    <row r="203" customHeight="1" spans="1:6">
      <c r="A203" s="27">
        <v>62</v>
      </c>
      <c r="B203" s="18" t="s">
        <v>409</v>
      </c>
      <c r="C203" s="12" t="s">
        <v>407</v>
      </c>
      <c r="D203" s="15" t="s">
        <v>398</v>
      </c>
      <c r="E203" s="704">
        <v>108502.5</v>
      </c>
      <c r="F203" s="705">
        <f t="shared" si="8"/>
        <v>54251.25</v>
      </c>
    </row>
    <row r="204" ht="30.75" customHeight="1" spans="1:6">
      <c r="A204" s="27"/>
      <c r="B204" s="8" t="s">
        <v>120</v>
      </c>
      <c r="C204" s="28" t="s">
        <v>993</v>
      </c>
      <c r="D204" s="29"/>
      <c r="E204" s="709">
        <v>18551927.8225807</v>
      </c>
      <c r="F204" s="710">
        <f>SUM(F142:F203)</f>
        <v>9275963.91129033</v>
      </c>
    </row>
    <row r="205" ht="47.1" customHeight="1" spans="1:6">
      <c r="A205" s="4"/>
      <c r="B205" s="30" t="s">
        <v>411</v>
      </c>
      <c r="C205" s="31">
        <f>C38+C45+C58+C63+C75+C84+C97+C104+C114+C126+C139+C204</f>
        <v>160</v>
      </c>
      <c r="D205" s="32"/>
      <c r="E205" s="719">
        <v>79274722.042019</v>
      </c>
      <c r="F205" s="720">
        <f>F204+F139+F126+F120+F114+F104+F97+F84+F75+F63+F58+F45+F38</f>
        <v>40610914.2293428</v>
      </c>
    </row>
    <row r="206" ht="38.25" customHeight="1" spans="2:6">
      <c r="B206" s="33"/>
      <c r="D206" s="34"/>
      <c r="E206" s="34"/>
      <c r="F206" s="34"/>
    </row>
    <row r="207" ht="36.75" customHeight="1" spans="2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3">
      <c r="A1" s="41" t="s">
        <v>997</v>
      </c>
      <c r="B1" s="41"/>
      <c r="C1" s="41"/>
    </row>
    <row r="2" ht="30" customHeight="1" spans="1:4">
      <c r="A2" s="46">
        <v>1</v>
      </c>
      <c r="B2" s="46" t="s">
        <v>599</v>
      </c>
      <c r="C2" s="150">
        <f>'Staff Bonus'!F205</f>
        <v>40610914.2293428</v>
      </c>
      <c r="D2" s="46"/>
    </row>
    <row r="3" ht="30" customHeight="1" spans="1:4">
      <c r="A3" s="46">
        <v>2</v>
      </c>
      <c r="B3" s="46" t="s">
        <v>935</v>
      </c>
      <c r="C3" s="150">
        <f>'[4]NEW STAFF BONUS'!$F$57</f>
        <v>3962895.74666667</v>
      </c>
      <c r="D3" s="46"/>
    </row>
    <row r="4" ht="30" customHeight="1" spans="1:4">
      <c r="A4" s="46">
        <v>3</v>
      </c>
      <c r="B4" s="46" t="s">
        <v>600</v>
      </c>
      <c r="C4" s="150">
        <f>'[5]BONUS CONTRACT'!$F$21</f>
        <v>4618070.67666667</v>
      </c>
      <c r="D4" s="46"/>
    </row>
    <row r="5" ht="30" customHeight="1" spans="1:4">
      <c r="A5" s="46">
        <v>4</v>
      </c>
      <c r="B5" s="46" t="s">
        <v>936</v>
      </c>
      <c r="C5" s="150">
        <f>'[5]NEW CONTR BONUS'!$F$30</f>
        <v>4681559.76833333</v>
      </c>
      <c r="D5" s="46"/>
    </row>
    <row r="6" ht="30" customHeight="1" spans="1:4">
      <c r="A6" s="46">
        <v>5</v>
      </c>
      <c r="B6" s="46" t="s">
        <v>601</v>
      </c>
      <c r="C6" s="150">
        <f>'[5]CAS. SABB. NYSC BONUS'!$E$67</f>
        <v>4877192.37333333</v>
      </c>
      <c r="D6" s="46"/>
    </row>
    <row r="7" ht="30" customHeight="1" spans="1:4">
      <c r="A7" s="46">
        <v>6</v>
      </c>
      <c r="B7" s="46" t="s">
        <v>998</v>
      </c>
      <c r="C7" s="697">
        <f>'[5]CONSULTANCY BONUS'!$E$28</f>
        <v>2750000</v>
      </c>
      <c r="D7" s="46"/>
    </row>
    <row r="8" ht="30" customHeight="1" spans="1:4">
      <c r="A8" s="46"/>
      <c r="B8" s="258" t="s">
        <v>604</v>
      </c>
      <c r="C8" s="698">
        <f>SUM(C2:C7)</f>
        <v>61500632.7943428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63" t="s">
        <v>616</v>
      </c>
      <c r="AA4" s="477"/>
      <c r="AB4" s="477" t="s">
        <v>808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967493.0835</v>
      </c>
      <c r="D6" s="466">
        <v>12</v>
      </c>
      <c r="E6" s="467">
        <f t="shared" ref="E6:E36" si="0">C6*D6</f>
        <v>11609917.002</v>
      </c>
      <c r="F6" s="467"/>
      <c r="G6" s="467"/>
      <c r="H6" s="467"/>
      <c r="I6" s="467">
        <f t="shared" ref="I6:I36" si="1">E6-F6-G6-H6</f>
        <v>11609917.002</v>
      </c>
      <c r="J6" s="467">
        <v>200000</v>
      </c>
      <c r="K6" s="467">
        <v>0.2</v>
      </c>
      <c r="L6" s="467">
        <f t="shared" ref="L6:L36" si="2">I6*K6</f>
        <v>2321983.4004</v>
      </c>
      <c r="M6" s="467">
        <f t="shared" ref="M6:M36" si="3">J6+L6</f>
        <v>2521983.4004</v>
      </c>
      <c r="N6" s="467">
        <f t="shared" ref="N6:N36" si="4">F6+G6+H6+M6</f>
        <v>2521983.4004</v>
      </c>
      <c r="O6" s="467">
        <f t="shared" ref="O6:O36" si="5">E6-N6</f>
        <v>9087933.6016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15" si="11">24%*(O6-3200000)</f>
        <v>1413104.064384</v>
      </c>
      <c r="V6" s="467">
        <f t="shared" ref="V6:V36" si="12">P6+Q6+R6+S6+T6+U6</f>
        <v>1973104.064384</v>
      </c>
      <c r="W6" s="474">
        <v>12</v>
      </c>
      <c r="X6" s="467">
        <f t="shared" ref="X6:X36" si="13">V6/W6</f>
        <v>164425.338698667</v>
      </c>
      <c r="Y6" s="467"/>
      <c r="Z6" s="467">
        <f t="shared" ref="Z6:Z36" si="14">X6</f>
        <v>164425.338698667</v>
      </c>
      <c r="AA6" s="479">
        <v>201165.835946667</v>
      </c>
      <c r="AB6" s="479">
        <f t="shared" ref="AB6:AB32" si="15">Z6-AA6</f>
        <v>-36740.4972480003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v>476186.583333333</v>
      </c>
      <c r="D7" s="466">
        <v>12</v>
      </c>
      <c r="E7" s="467">
        <f t="shared" si="0"/>
        <v>5714239</v>
      </c>
      <c r="F7" s="467"/>
      <c r="G7" s="467">
        <v>731878.24</v>
      </c>
      <c r="H7" s="467"/>
      <c r="I7" s="467">
        <f t="shared" si="1"/>
        <v>4982360.76</v>
      </c>
      <c r="J7" s="467">
        <v>200000</v>
      </c>
      <c r="K7" s="467">
        <v>0.2</v>
      </c>
      <c r="L7" s="467">
        <f t="shared" si="2"/>
        <v>996472.151999999</v>
      </c>
      <c r="M7" s="467">
        <f t="shared" si="3"/>
        <v>1196472.152</v>
      </c>
      <c r="N7" s="467">
        <f t="shared" si="4"/>
        <v>1928350.392</v>
      </c>
      <c r="O7" s="467">
        <f t="shared" si="5"/>
        <v>3785888.608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140613.265919999</v>
      </c>
      <c r="V7" s="467">
        <f t="shared" si="12"/>
        <v>700613.265919999</v>
      </c>
      <c r="W7" s="474">
        <v>12</v>
      </c>
      <c r="X7" s="467">
        <f t="shared" si="13"/>
        <v>58384.4388266666</v>
      </c>
      <c r="Y7" s="467"/>
      <c r="Z7" s="467">
        <f t="shared" si="14"/>
        <v>58384.4388266666</v>
      </c>
      <c r="AA7" s="479">
        <v>82627.9514186667</v>
      </c>
      <c r="AB7" s="479">
        <f t="shared" si="15"/>
        <v>-24243.5125920001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v>576186.583333333</v>
      </c>
      <c r="D8" s="466">
        <v>12</v>
      </c>
      <c r="E8" s="467">
        <f t="shared" si="0"/>
        <v>6914239</v>
      </c>
      <c r="F8" s="467"/>
      <c r="G8" s="467">
        <v>0</v>
      </c>
      <c r="H8" s="467"/>
      <c r="I8" s="467">
        <f t="shared" si="1"/>
        <v>6914239</v>
      </c>
      <c r="J8" s="467">
        <v>200000</v>
      </c>
      <c r="K8" s="467">
        <v>0.2</v>
      </c>
      <c r="L8" s="467">
        <f t="shared" si="2"/>
        <v>1382847.8</v>
      </c>
      <c r="M8" s="467">
        <f t="shared" si="3"/>
        <v>1582847.8</v>
      </c>
      <c r="N8" s="467">
        <f t="shared" si="4"/>
        <v>1582847.8</v>
      </c>
      <c r="O8" s="467">
        <f t="shared" si="5"/>
        <v>5331391.2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511533.887999999</v>
      </c>
      <c r="V8" s="467">
        <f t="shared" si="12"/>
        <v>1071533.888</v>
      </c>
      <c r="W8" s="474">
        <v>12</v>
      </c>
      <c r="X8" s="467">
        <f t="shared" si="13"/>
        <v>89294.4906666666</v>
      </c>
      <c r="Y8" s="467"/>
      <c r="Z8" s="467">
        <f t="shared" si="14"/>
        <v>89294.4906666666</v>
      </c>
      <c r="AA8" s="479">
        <v>121027.951418667</v>
      </c>
      <c r="AB8" s="479">
        <f t="shared" si="15"/>
        <v>-31733.4607520004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471186.583333333</v>
      </c>
      <c r="D9" s="466">
        <v>12</v>
      </c>
      <c r="E9" s="467">
        <f t="shared" si="0"/>
        <v>5654239</v>
      </c>
      <c r="F9" s="467">
        <f>'[6]JANUARY 2024'!$V$10*12</f>
        <v>12795.951</v>
      </c>
      <c r="G9" s="467">
        <v>731878.24</v>
      </c>
      <c r="H9" s="467"/>
      <c r="I9" s="467">
        <f t="shared" si="1"/>
        <v>4909564.809</v>
      </c>
      <c r="J9" s="467">
        <v>200000</v>
      </c>
      <c r="K9" s="467">
        <v>0.2</v>
      </c>
      <c r="L9" s="467">
        <f t="shared" si="2"/>
        <v>981912.961799999</v>
      </c>
      <c r="M9" s="467">
        <f t="shared" si="3"/>
        <v>1181912.9618</v>
      </c>
      <c r="N9" s="467">
        <f t="shared" si="4"/>
        <v>1926587.1528</v>
      </c>
      <c r="O9" s="467">
        <f t="shared" si="5"/>
        <v>3727651.8472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126636.443327999</v>
      </c>
      <c r="V9" s="467">
        <f t="shared" si="12"/>
        <v>686636.443327999</v>
      </c>
      <c r="W9" s="474">
        <v>12</v>
      </c>
      <c r="X9" s="467">
        <f t="shared" si="13"/>
        <v>57219.7036106666</v>
      </c>
      <c r="Y9" s="467"/>
      <c r="Z9" s="467">
        <f t="shared" si="14"/>
        <v>57219.7036106666</v>
      </c>
      <c r="AA9" s="479">
        <v>99703.2162026667</v>
      </c>
      <c r="AB9" s="479">
        <f t="shared" si="15"/>
        <v>-42483.5125920001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465">
        <v>551186.583333333</v>
      </c>
      <c r="D10" s="466">
        <v>12</v>
      </c>
      <c r="E10" s="467">
        <f t="shared" si="0"/>
        <v>6614239</v>
      </c>
      <c r="F10" s="467">
        <f>'[6]JANUARY 2024'!$V$10*12</f>
        <v>12795.951</v>
      </c>
      <c r="G10" s="467">
        <v>731878.24</v>
      </c>
      <c r="H10" s="467"/>
      <c r="I10" s="467">
        <f t="shared" si="1"/>
        <v>5869564.809</v>
      </c>
      <c r="J10" s="467">
        <v>200000</v>
      </c>
      <c r="K10" s="467">
        <v>0.2</v>
      </c>
      <c r="L10" s="467">
        <f t="shared" si="2"/>
        <v>1173912.9618</v>
      </c>
      <c r="M10" s="467">
        <f t="shared" si="3"/>
        <v>1373912.9618</v>
      </c>
      <c r="N10" s="467">
        <f t="shared" si="4"/>
        <v>2118587.1528</v>
      </c>
      <c r="O10" s="467">
        <f t="shared" si="5"/>
        <v>4495651.8472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310956.443327999</v>
      </c>
      <c r="V10" s="467">
        <f t="shared" si="12"/>
        <v>870956.443327999</v>
      </c>
      <c r="W10" s="474">
        <v>12</v>
      </c>
      <c r="X10" s="467">
        <f t="shared" si="13"/>
        <v>72579.7036106666</v>
      </c>
      <c r="Y10" s="467"/>
      <c r="Z10" s="467">
        <f t="shared" si="14"/>
        <v>72579.7036106666</v>
      </c>
      <c r="AA10" s="479">
        <v>111223.216202667</v>
      </c>
      <c r="AB10" s="479">
        <f t="shared" si="15"/>
        <v>-38643.5125920004</v>
      </c>
      <c r="AC10" s="479"/>
      <c r="AD10" s="479"/>
      <c r="AE10" s="479"/>
    </row>
    <row r="11" ht="18" spans="1:31">
      <c r="A11" s="464">
        <v>8</v>
      </c>
      <c r="B11" s="11" t="s">
        <v>33</v>
      </c>
      <c r="C11" s="465">
        <v>375337.791666667</v>
      </c>
      <c r="D11" s="466">
        <v>12</v>
      </c>
      <c r="E11" s="467">
        <f t="shared" si="0"/>
        <v>4504053.5</v>
      </c>
      <c r="F11" s="467"/>
      <c r="G11" s="467">
        <v>0</v>
      </c>
      <c r="H11" s="467"/>
      <c r="I11" s="467">
        <f t="shared" si="1"/>
        <v>4504053.5</v>
      </c>
      <c r="J11" s="467">
        <v>200000</v>
      </c>
      <c r="K11" s="467">
        <v>0.2</v>
      </c>
      <c r="L11" s="467">
        <f t="shared" si="2"/>
        <v>900810.700000001</v>
      </c>
      <c r="M11" s="467">
        <f t="shared" si="3"/>
        <v>1100810.7</v>
      </c>
      <c r="N11" s="467">
        <f t="shared" si="4"/>
        <v>1100810.7</v>
      </c>
      <c r="O11" s="467">
        <f t="shared" si="5"/>
        <v>3403242.8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48778.2720000007</v>
      </c>
      <c r="V11" s="467">
        <f t="shared" si="12"/>
        <v>608778.272000001</v>
      </c>
      <c r="W11" s="474">
        <v>12</v>
      </c>
      <c r="X11" s="467">
        <f t="shared" si="13"/>
        <v>50731.5226666667</v>
      </c>
      <c r="Y11" s="467"/>
      <c r="Z11" s="467">
        <f t="shared" si="14"/>
        <v>50731.5226666667</v>
      </c>
      <c r="AA11" s="479">
        <v>101827.951418667</v>
      </c>
      <c r="AB11" s="479">
        <f t="shared" si="15"/>
        <v>-51096.4287520003</v>
      </c>
      <c r="AC11" s="479"/>
      <c r="AD11" s="479"/>
      <c r="AE11" s="479"/>
    </row>
    <row r="12" ht="18" spans="1:31">
      <c r="A12" s="464">
        <v>9</v>
      </c>
      <c r="B12" s="11" t="s">
        <v>36</v>
      </c>
      <c r="C12" s="465">
        <v>471059.041666667</v>
      </c>
      <c r="D12" s="466">
        <v>12</v>
      </c>
      <c r="E12" s="467">
        <f t="shared" si="0"/>
        <v>5652708.5</v>
      </c>
      <c r="F12" s="467">
        <f>'[6]JANUARY 2024'!$V$13*12</f>
        <v>10052.25</v>
      </c>
      <c r="G12" s="467">
        <v>595848.56</v>
      </c>
      <c r="H12" s="467"/>
      <c r="I12" s="467">
        <f t="shared" si="1"/>
        <v>5046807.69</v>
      </c>
      <c r="J12" s="467">
        <v>200000</v>
      </c>
      <c r="K12" s="467">
        <v>0.2</v>
      </c>
      <c r="L12" s="467">
        <f t="shared" si="2"/>
        <v>1009361.538</v>
      </c>
      <c r="M12" s="467">
        <f t="shared" si="3"/>
        <v>1209361.538</v>
      </c>
      <c r="N12" s="467">
        <f t="shared" si="4"/>
        <v>1815262.348</v>
      </c>
      <c r="O12" s="467">
        <f t="shared" si="5"/>
        <v>3837446.152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152987.076480001</v>
      </c>
      <c r="V12" s="467">
        <f t="shared" si="12"/>
        <v>712987.076480001</v>
      </c>
      <c r="W12" s="474">
        <v>12</v>
      </c>
      <c r="X12" s="467">
        <f t="shared" si="13"/>
        <v>59415.5897066667</v>
      </c>
      <c r="Y12" s="467"/>
      <c r="Z12" s="467">
        <f t="shared" si="14"/>
        <v>59415.5897066667</v>
      </c>
      <c r="AA12" s="479">
        <v>74036.1031466667</v>
      </c>
      <c r="AB12" s="479">
        <f t="shared" si="15"/>
        <v>-14620.51344</v>
      </c>
      <c r="AC12" s="479"/>
      <c r="AD12" s="479"/>
      <c r="AE12" s="479"/>
    </row>
    <row r="13" ht="18" spans="1:31">
      <c r="A13" s="464">
        <v>10</v>
      </c>
      <c r="B13" s="11" t="s">
        <v>39</v>
      </c>
      <c r="C13" s="465">
        <v>277186.875</v>
      </c>
      <c r="D13" s="466">
        <v>12</v>
      </c>
      <c r="E13" s="467">
        <f t="shared" si="0"/>
        <v>3326242.5</v>
      </c>
      <c r="F13" s="467">
        <f>'[6]JANUARY 2024'!$V$14*12</f>
        <v>9305.952</v>
      </c>
      <c r="G13" s="467">
        <v>558833.36</v>
      </c>
      <c r="H13" s="467"/>
      <c r="I13" s="467">
        <f t="shared" si="1"/>
        <v>2758103.188</v>
      </c>
      <c r="J13" s="467">
        <v>200000</v>
      </c>
      <c r="K13" s="467">
        <v>0.2</v>
      </c>
      <c r="L13" s="467">
        <f t="shared" si="2"/>
        <v>551620.6376</v>
      </c>
      <c r="M13" s="467">
        <f t="shared" si="3"/>
        <v>751620.6376</v>
      </c>
      <c r="N13" s="467">
        <f t="shared" si="4"/>
        <v>1319759.9496</v>
      </c>
      <c r="O13" s="467">
        <f t="shared" si="5"/>
        <v>2006482.5504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85361.335584</v>
      </c>
      <c r="U13" s="467"/>
      <c r="V13" s="467">
        <f t="shared" si="12"/>
        <v>309361.335584</v>
      </c>
      <c r="W13" s="474">
        <v>12</v>
      </c>
      <c r="X13" s="467">
        <f t="shared" si="13"/>
        <v>25780.1112986667</v>
      </c>
      <c r="Y13" s="467"/>
      <c r="Z13" s="467">
        <f t="shared" si="14"/>
        <v>25780.1112986667</v>
      </c>
      <c r="AA13" s="479">
        <v>94625.7820586667</v>
      </c>
      <c r="AB13" s="479">
        <f t="shared" si="15"/>
        <v>-68845.67076</v>
      </c>
      <c r="AC13" s="479"/>
      <c r="AD13" s="479"/>
      <c r="AE13" s="479"/>
    </row>
    <row r="14" ht="18" spans="1:31">
      <c r="A14" s="464">
        <v>11</v>
      </c>
      <c r="B14" s="14" t="s">
        <v>42</v>
      </c>
      <c r="C14" s="465">
        <v>446059.041666667</v>
      </c>
      <c r="D14" s="466">
        <v>12</v>
      </c>
      <c r="E14" s="467">
        <f t="shared" si="0"/>
        <v>5352708.5</v>
      </c>
      <c r="F14" s="467"/>
      <c r="G14" s="467">
        <v>464998.8</v>
      </c>
      <c r="H14" s="467"/>
      <c r="I14" s="467">
        <f t="shared" si="1"/>
        <v>4887709.7</v>
      </c>
      <c r="J14" s="467">
        <v>200000</v>
      </c>
      <c r="K14" s="467">
        <v>0.2</v>
      </c>
      <c r="L14" s="467">
        <f t="shared" si="2"/>
        <v>977541.940000001</v>
      </c>
      <c r="M14" s="467">
        <f t="shared" si="3"/>
        <v>1177541.94</v>
      </c>
      <c r="N14" s="467">
        <f t="shared" si="4"/>
        <v>1642540.74</v>
      </c>
      <c r="O14" s="467">
        <f t="shared" si="5"/>
        <v>3710167.76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122440.262400001</v>
      </c>
      <c r="V14" s="467">
        <f t="shared" si="12"/>
        <v>682440.262400001</v>
      </c>
      <c r="W14" s="474">
        <v>12</v>
      </c>
      <c r="X14" s="467">
        <f t="shared" si="13"/>
        <v>56870.0218666667</v>
      </c>
      <c r="Y14" s="467"/>
      <c r="Z14" s="467">
        <f t="shared" si="14"/>
        <v>56870.0218666667</v>
      </c>
      <c r="AA14" s="479">
        <v>44846.6165886667</v>
      </c>
      <c r="AB14" s="479">
        <f t="shared" si="15"/>
        <v>12023.405278</v>
      </c>
      <c r="AC14" s="479"/>
      <c r="AD14" s="479"/>
      <c r="AE14" s="479"/>
    </row>
    <row r="15" ht="18" spans="1:31">
      <c r="A15" s="464">
        <v>12</v>
      </c>
      <c r="B15" s="11" t="s">
        <v>44</v>
      </c>
      <c r="C15" s="465">
        <v>416373.25</v>
      </c>
      <c r="D15" s="466">
        <v>12</v>
      </c>
      <c r="E15" s="467">
        <f t="shared" si="0"/>
        <v>4996479</v>
      </c>
      <c r="F15" s="467"/>
      <c r="G15" s="468">
        <v>451678.08</v>
      </c>
      <c r="H15" s="467"/>
      <c r="I15" s="467">
        <f t="shared" si="1"/>
        <v>4544800.92</v>
      </c>
      <c r="J15" s="467">
        <v>200000</v>
      </c>
      <c r="K15" s="467">
        <v>0.2</v>
      </c>
      <c r="L15" s="467">
        <f t="shared" si="2"/>
        <v>908960.184</v>
      </c>
      <c r="M15" s="467">
        <f t="shared" si="3"/>
        <v>1108960.184</v>
      </c>
      <c r="N15" s="467">
        <f t="shared" si="4"/>
        <v>1560638.264</v>
      </c>
      <c r="O15" s="467">
        <f t="shared" si="5"/>
        <v>3435840.736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56601.77664</v>
      </c>
      <c r="V15" s="467">
        <f t="shared" si="12"/>
        <v>616601.77664</v>
      </c>
      <c r="W15" s="474">
        <v>12</v>
      </c>
      <c r="X15" s="467">
        <f t="shared" si="13"/>
        <v>51383.4813866667</v>
      </c>
      <c r="Y15" s="467"/>
      <c r="Z15" s="467">
        <f t="shared" si="14"/>
        <v>51383.4813866667</v>
      </c>
      <c r="AA15" s="479">
        <v>46666.6666666667</v>
      </c>
      <c r="AB15" s="479">
        <f t="shared" si="15"/>
        <v>4716.81471999997</v>
      </c>
      <c r="AC15" s="479"/>
      <c r="AD15" s="479"/>
      <c r="AE15" s="479"/>
    </row>
    <row r="16" ht="18" spans="1:31">
      <c r="A16" s="464">
        <v>13</v>
      </c>
      <c r="B16" s="11" t="s">
        <v>47</v>
      </c>
      <c r="C16" s="465">
        <v>331059.041666667</v>
      </c>
      <c r="D16" s="466">
        <v>12</v>
      </c>
      <c r="E16" s="467">
        <f t="shared" si="0"/>
        <v>3972708.5</v>
      </c>
      <c r="F16" s="467"/>
      <c r="G16" s="467">
        <v>425036.64</v>
      </c>
      <c r="H16" s="467"/>
      <c r="I16" s="467">
        <f t="shared" si="1"/>
        <v>3547671.86</v>
      </c>
      <c r="J16" s="467">
        <v>200000</v>
      </c>
      <c r="K16" s="467">
        <v>0.2</v>
      </c>
      <c r="L16" s="467">
        <f t="shared" si="2"/>
        <v>709534.372000001</v>
      </c>
      <c r="M16" s="467">
        <f t="shared" si="3"/>
        <v>909534.372000001</v>
      </c>
      <c r="N16" s="467">
        <f t="shared" si="4"/>
        <v>1334571.012</v>
      </c>
      <c r="O16" s="467">
        <f t="shared" si="5"/>
        <v>2638137.488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218008.872480001</v>
      </c>
      <c r="U16" s="467"/>
      <c r="V16" s="467">
        <f t="shared" si="12"/>
        <v>442008.872480001</v>
      </c>
      <c r="W16" s="474">
        <v>12</v>
      </c>
      <c r="X16" s="467">
        <f t="shared" si="13"/>
        <v>36834.0727066667</v>
      </c>
      <c r="Y16" s="467"/>
      <c r="Z16" s="467">
        <f t="shared" si="14"/>
        <v>36834.0727066667</v>
      </c>
      <c r="AA16" s="479">
        <v>46666.6666666667</v>
      </c>
      <c r="AB16" s="479">
        <f t="shared" si="15"/>
        <v>-9832.59395999999</v>
      </c>
      <c r="AC16" s="479"/>
      <c r="AD16" s="479"/>
      <c r="AE16" s="479"/>
    </row>
    <row r="17" ht="18" spans="1:31">
      <c r="A17" s="464">
        <v>14</v>
      </c>
      <c r="B17" s="11" t="s">
        <v>50</v>
      </c>
      <c r="C17" s="465">
        <v>274457.958333333</v>
      </c>
      <c r="D17" s="466">
        <v>12</v>
      </c>
      <c r="E17" s="467">
        <f t="shared" si="0"/>
        <v>3293495.5</v>
      </c>
      <c r="F17" s="467"/>
      <c r="G17" s="467">
        <v>424132.72</v>
      </c>
      <c r="H17" s="467"/>
      <c r="I17" s="467">
        <f t="shared" si="1"/>
        <v>2869362.78</v>
      </c>
      <c r="J17" s="467">
        <v>200000</v>
      </c>
      <c r="K17" s="467">
        <v>0.2</v>
      </c>
      <c r="L17" s="467">
        <f t="shared" si="2"/>
        <v>573872.555999999</v>
      </c>
      <c r="M17" s="467">
        <f t="shared" si="3"/>
        <v>773872.555999999</v>
      </c>
      <c r="N17" s="467">
        <f t="shared" si="4"/>
        <v>1198005.276</v>
      </c>
      <c r="O17" s="467">
        <f t="shared" si="5"/>
        <v>2095490.224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104052.947039999</v>
      </c>
      <c r="U17" s="467"/>
      <c r="V17" s="467">
        <f t="shared" si="12"/>
        <v>328052.947039999</v>
      </c>
      <c r="W17" s="474">
        <v>12</v>
      </c>
      <c r="X17" s="467">
        <f t="shared" si="13"/>
        <v>27337.7455866666</v>
      </c>
      <c r="Y17" s="467"/>
      <c r="Z17" s="467">
        <f t="shared" si="14"/>
        <v>27337.7455866666</v>
      </c>
      <c r="AA17" s="479">
        <v>42046.0636866667</v>
      </c>
      <c r="AB17" s="479">
        <f t="shared" si="15"/>
        <v>-14708.3181000001</v>
      </c>
      <c r="AC17" s="479"/>
      <c r="AD17" s="479"/>
      <c r="AE17" s="479"/>
    </row>
    <row r="18" ht="18" spans="1:31">
      <c r="A18" s="464">
        <v>15</v>
      </c>
      <c r="B18" s="18" t="s">
        <v>53</v>
      </c>
      <c r="C18" s="465">
        <v>368013.458333333</v>
      </c>
      <c r="D18" s="466">
        <v>12</v>
      </c>
      <c r="E18" s="467">
        <f t="shared" si="0"/>
        <v>4416161.5</v>
      </c>
      <c r="F18" s="467"/>
      <c r="G18" s="467">
        <v>411759.28</v>
      </c>
      <c r="H18" s="467"/>
      <c r="I18" s="467">
        <f t="shared" si="1"/>
        <v>4004402.22</v>
      </c>
      <c r="J18" s="467">
        <v>200000</v>
      </c>
      <c r="K18" s="467">
        <v>0.2</v>
      </c>
      <c r="L18" s="467">
        <f t="shared" si="2"/>
        <v>800880.443999999</v>
      </c>
      <c r="M18" s="467">
        <f t="shared" si="3"/>
        <v>1000880.444</v>
      </c>
      <c r="N18" s="467">
        <f t="shared" si="4"/>
        <v>1412639.724</v>
      </c>
      <c r="O18" s="467">
        <f t="shared" si="5"/>
        <v>3003521.776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294739.572959999</v>
      </c>
      <c r="U18" s="467"/>
      <c r="V18" s="467">
        <f t="shared" si="12"/>
        <v>518739.572959999</v>
      </c>
      <c r="W18" s="474">
        <v>12</v>
      </c>
      <c r="X18" s="467">
        <f t="shared" si="13"/>
        <v>43228.2977466666</v>
      </c>
      <c r="Y18" s="467"/>
      <c r="Z18" s="467">
        <f t="shared" si="14"/>
        <v>43228.2977466666</v>
      </c>
      <c r="AA18" s="479">
        <v>46666.6666666667</v>
      </c>
      <c r="AB18" s="479">
        <f t="shared" si="15"/>
        <v>-3438.36892000009</v>
      </c>
      <c r="AC18" s="479"/>
      <c r="AD18" s="479"/>
      <c r="AE18" s="479"/>
    </row>
    <row r="19" ht="18" spans="1:31">
      <c r="A19" s="464">
        <v>16</v>
      </c>
      <c r="B19" s="18" t="s">
        <v>56</v>
      </c>
      <c r="C19" s="465">
        <v>230124.458333333</v>
      </c>
      <c r="D19" s="466">
        <v>12</v>
      </c>
      <c r="E19" s="467">
        <f t="shared" si="0"/>
        <v>2761493.5</v>
      </c>
      <c r="F19" s="467">
        <f>618.53*12</f>
        <v>7422.36</v>
      </c>
      <c r="G19" s="467">
        <v>399385.84</v>
      </c>
      <c r="H19" s="467"/>
      <c r="I19" s="467">
        <f t="shared" si="1"/>
        <v>2354685.3</v>
      </c>
      <c r="J19" s="467">
        <v>200000</v>
      </c>
      <c r="K19" s="467">
        <v>0.2</v>
      </c>
      <c r="L19" s="467">
        <f t="shared" si="2"/>
        <v>470937.059999999</v>
      </c>
      <c r="M19" s="467">
        <f t="shared" si="3"/>
        <v>670937.059999999</v>
      </c>
      <c r="N19" s="467">
        <f t="shared" si="4"/>
        <v>1077745.26</v>
      </c>
      <c r="O19" s="467">
        <f t="shared" si="5"/>
        <v>1683748.24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17587.1303999993</v>
      </c>
      <c r="U19" s="467"/>
      <c r="V19" s="467">
        <f t="shared" si="12"/>
        <v>241587.130399999</v>
      </c>
      <c r="W19" s="474">
        <v>12</v>
      </c>
      <c r="X19" s="467">
        <f t="shared" si="13"/>
        <v>20132.2608666666</v>
      </c>
      <c r="Y19" s="467"/>
      <c r="Z19" s="467">
        <f t="shared" si="14"/>
        <v>20132.2608666666</v>
      </c>
      <c r="AA19" s="479">
        <v>46666.6666666667</v>
      </c>
      <c r="AB19" s="479">
        <f t="shared" si="15"/>
        <v>-26534.4058000001</v>
      </c>
      <c r="AC19" s="479"/>
      <c r="AD19" s="479"/>
      <c r="AE19" s="479"/>
    </row>
    <row r="20" ht="18" spans="1:31">
      <c r="A20" s="464">
        <v>17</v>
      </c>
      <c r="B20" s="18" t="s">
        <v>59</v>
      </c>
      <c r="C20" s="465">
        <v>255124.458333333</v>
      </c>
      <c r="D20" s="466">
        <v>12</v>
      </c>
      <c r="E20" s="467">
        <f t="shared" si="0"/>
        <v>3061493.5</v>
      </c>
      <c r="F20" s="467"/>
      <c r="G20" s="467">
        <v>362779.36</v>
      </c>
      <c r="H20" s="467"/>
      <c r="I20" s="467">
        <f t="shared" si="1"/>
        <v>2698714.14</v>
      </c>
      <c r="J20" s="467">
        <v>200000</v>
      </c>
      <c r="K20" s="467">
        <v>0.2</v>
      </c>
      <c r="L20" s="467">
        <f t="shared" si="2"/>
        <v>539742.827999999</v>
      </c>
      <c r="M20" s="467">
        <f t="shared" si="3"/>
        <v>739742.827999999</v>
      </c>
      <c r="N20" s="467">
        <f t="shared" si="4"/>
        <v>1102522.188</v>
      </c>
      <c r="O20" s="467">
        <f t="shared" si="5"/>
        <v>1958971.312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75383.9755199993</v>
      </c>
      <c r="U20" s="467"/>
      <c r="V20" s="467">
        <f t="shared" si="12"/>
        <v>299383.975519999</v>
      </c>
      <c r="W20" s="474">
        <v>12</v>
      </c>
      <c r="X20" s="467">
        <f t="shared" si="13"/>
        <v>24948.6646266666</v>
      </c>
      <c r="Y20" s="467"/>
      <c r="Z20" s="467">
        <f t="shared" si="14"/>
        <v>24948.6646266666</v>
      </c>
      <c r="AA20" s="479">
        <v>52497.7703786666</v>
      </c>
      <c r="AB20" s="479">
        <f t="shared" si="15"/>
        <v>-27549.105752</v>
      </c>
      <c r="AC20" s="479"/>
      <c r="AD20" s="479"/>
      <c r="AE20" s="479"/>
    </row>
    <row r="21" ht="18" spans="1:31">
      <c r="A21" s="464">
        <v>18</v>
      </c>
      <c r="B21" s="11" t="s">
        <v>64</v>
      </c>
      <c r="C21" s="465">
        <v>293947.583333333</v>
      </c>
      <c r="D21" s="466">
        <v>12</v>
      </c>
      <c r="E21" s="467">
        <f t="shared" si="0"/>
        <v>3527371</v>
      </c>
      <c r="F21" s="467"/>
      <c r="G21" s="467">
        <v>339372</v>
      </c>
      <c r="H21" s="467"/>
      <c r="I21" s="467">
        <f t="shared" si="1"/>
        <v>3187999</v>
      </c>
      <c r="J21" s="467">
        <v>200000</v>
      </c>
      <c r="K21" s="467">
        <v>0.2</v>
      </c>
      <c r="L21" s="467">
        <f t="shared" si="2"/>
        <v>637599.799999999</v>
      </c>
      <c r="M21" s="467">
        <f t="shared" si="3"/>
        <v>837599.799999999</v>
      </c>
      <c r="N21" s="467">
        <f t="shared" si="4"/>
        <v>1176971.8</v>
      </c>
      <c r="O21" s="467">
        <f t="shared" si="5"/>
        <v>2350399.2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157583.831999999</v>
      </c>
      <c r="U21" s="467"/>
      <c r="V21" s="467">
        <f t="shared" si="12"/>
        <v>381583.831999999</v>
      </c>
      <c r="W21" s="474">
        <v>12</v>
      </c>
      <c r="X21" s="467">
        <f t="shared" si="13"/>
        <v>31798.6526666666</v>
      </c>
      <c r="Y21" s="467"/>
      <c r="Z21" s="467">
        <f t="shared" si="14"/>
        <v>31798.6526666666</v>
      </c>
      <c r="AA21" s="479">
        <v>46666.6666666667</v>
      </c>
      <c r="AB21" s="479">
        <f t="shared" si="15"/>
        <v>-14868.0140000001</v>
      </c>
      <c r="AC21" s="479"/>
      <c r="AD21" s="479"/>
      <c r="AE21" s="479"/>
    </row>
    <row r="22" ht="18" spans="1:31">
      <c r="A22" s="464">
        <v>19</v>
      </c>
      <c r="B22" s="14" t="s">
        <v>67</v>
      </c>
      <c r="C22" s="465">
        <v>326756.25</v>
      </c>
      <c r="D22" s="466">
        <v>12</v>
      </c>
      <c r="E22" s="467">
        <f t="shared" si="0"/>
        <v>3921075</v>
      </c>
      <c r="F22" s="467"/>
      <c r="G22" s="467">
        <v>339372</v>
      </c>
      <c r="H22" s="467"/>
      <c r="I22" s="467">
        <f t="shared" si="1"/>
        <v>3581703</v>
      </c>
      <c r="J22" s="467">
        <v>200000</v>
      </c>
      <c r="K22" s="467">
        <v>0.2</v>
      </c>
      <c r="L22" s="467">
        <f t="shared" si="2"/>
        <v>716340.6</v>
      </c>
      <c r="M22" s="467">
        <f t="shared" si="3"/>
        <v>916340.6</v>
      </c>
      <c r="N22" s="467">
        <f t="shared" si="4"/>
        <v>1255712.6</v>
      </c>
      <c r="O22" s="467">
        <f t="shared" si="5"/>
        <v>2665362.4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223726.104</v>
      </c>
      <c r="U22" s="467"/>
      <c r="V22" s="467">
        <f t="shared" si="12"/>
        <v>447726.104</v>
      </c>
      <c r="W22" s="474">
        <v>12</v>
      </c>
      <c r="X22" s="467">
        <f t="shared" si="13"/>
        <v>37310.5086666667</v>
      </c>
      <c r="Y22" s="467"/>
      <c r="Z22" s="467">
        <f t="shared" si="14"/>
        <v>37310.5086666667</v>
      </c>
      <c r="AA22" s="479">
        <v>46666.6666666667</v>
      </c>
      <c r="AB22" s="479">
        <f t="shared" si="15"/>
        <v>-9356.15800000004</v>
      </c>
      <c r="AC22" s="479"/>
      <c r="AD22" s="479"/>
      <c r="AE22" s="479"/>
    </row>
    <row r="23" ht="18" spans="1:31">
      <c r="A23" s="464">
        <v>20</v>
      </c>
      <c r="B23" s="11" t="s">
        <v>70</v>
      </c>
      <c r="C23" s="465">
        <v>231756.25</v>
      </c>
      <c r="D23" s="466">
        <v>12</v>
      </c>
      <c r="E23" s="467">
        <f t="shared" si="0"/>
        <v>2781075</v>
      </c>
      <c r="F23" s="467"/>
      <c r="G23" s="467">
        <v>281308.48</v>
      </c>
      <c r="H23" s="467"/>
      <c r="I23" s="467">
        <f t="shared" si="1"/>
        <v>2499766.52</v>
      </c>
      <c r="J23" s="467">
        <v>200000</v>
      </c>
      <c r="K23" s="467">
        <v>0.2</v>
      </c>
      <c r="L23" s="467">
        <f t="shared" si="2"/>
        <v>499953.304</v>
      </c>
      <c r="M23" s="467">
        <f t="shared" si="3"/>
        <v>699953.304</v>
      </c>
      <c r="N23" s="467">
        <f t="shared" si="4"/>
        <v>981261.784</v>
      </c>
      <c r="O23" s="467">
        <f t="shared" si="5"/>
        <v>1799813.216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41960.77536</v>
      </c>
      <c r="U23" s="467"/>
      <c r="V23" s="467">
        <f t="shared" si="12"/>
        <v>265960.77536</v>
      </c>
      <c r="W23" s="474">
        <v>12</v>
      </c>
      <c r="X23" s="467">
        <f t="shared" si="13"/>
        <v>22163.3979466667</v>
      </c>
      <c r="Y23" s="467"/>
      <c r="Z23" s="467">
        <f t="shared" si="14"/>
        <v>22163.3979466667</v>
      </c>
      <c r="AA23" s="479">
        <v>42371.8157286667</v>
      </c>
      <c r="AB23" s="479">
        <f t="shared" si="15"/>
        <v>-20208.417782</v>
      </c>
      <c r="AC23" s="479"/>
      <c r="AD23" s="479"/>
      <c r="AE23" s="479"/>
    </row>
    <row r="24" ht="18" spans="1:31">
      <c r="A24" s="464">
        <v>21</v>
      </c>
      <c r="B24" s="14" t="s">
        <v>72</v>
      </c>
      <c r="C24" s="465">
        <v>276514.833333333</v>
      </c>
      <c r="D24" s="466">
        <v>12</v>
      </c>
      <c r="E24" s="467">
        <f t="shared" si="0"/>
        <v>3318178</v>
      </c>
      <c r="F24" s="467"/>
      <c r="G24" s="467">
        <v>259662.4</v>
      </c>
      <c r="H24" s="467"/>
      <c r="I24" s="467">
        <f t="shared" si="1"/>
        <v>3058515.6</v>
      </c>
      <c r="J24" s="467">
        <v>200000</v>
      </c>
      <c r="K24" s="467">
        <v>0.2</v>
      </c>
      <c r="L24" s="467">
        <f t="shared" si="2"/>
        <v>611703.119999999</v>
      </c>
      <c r="M24" s="467">
        <f t="shared" si="3"/>
        <v>811703.119999999</v>
      </c>
      <c r="N24" s="467">
        <f t="shared" si="4"/>
        <v>1071365.52</v>
      </c>
      <c r="O24" s="467">
        <f t="shared" si="5"/>
        <v>2246812.48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135830.620799999</v>
      </c>
      <c r="U24" s="467"/>
      <c r="V24" s="467">
        <f t="shared" si="12"/>
        <v>359830.620799999</v>
      </c>
      <c r="W24" s="474">
        <v>12</v>
      </c>
      <c r="X24" s="467">
        <f t="shared" si="13"/>
        <v>29985.8850666666</v>
      </c>
      <c r="Y24" s="467"/>
      <c r="Z24" s="467">
        <f t="shared" si="14"/>
        <v>29985.8850666666</v>
      </c>
      <c r="AA24" s="479">
        <v>23036.0123466667</v>
      </c>
      <c r="AB24" s="479">
        <f t="shared" si="15"/>
        <v>6949.87271999991</v>
      </c>
      <c r="AC24" s="479"/>
      <c r="AD24" s="479"/>
      <c r="AE24" s="479"/>
    </row>
    <row r="25" ht="18" spans="1:31">
      <c r="A25" s="464">
        <v>22</v>
      </c>
      <c r="B25" s="14" t="s">
        <v>75</v>
      </c>
      <c r="C25" s="465">
        <v>176514.833333333</v>
      </c>
      <c r="D25" s="466">
        <v>12</v>
      </c>
      <c r="E25" s="467">
        <f t="shared" si="0"/>
        <v>2118178</v>
      </c>
      <c r="F25" s="467"/>
      <c r="G25" s="467">
        <v>259662.4</v>
      </c>
      <c r="H25" s="467"/>
      <c r="I25" s="467">
        <f t="shared" si="1"/>
        <v>1858515.6</v>
      </c>
      <c r="J25" s="467">
        <v>200000</v>
      </c>
      <c r="K25" s="467">
        <v>0.2</v>
      </c>
      <c r="L25" s="467">
        <f t="shared" si="2"/>
        <v>371703.119999999</v>
      </c>
      <c r="M25" s="467">
        <f t="shared" si="3"/>
        <v>571703.119999999</v>
      </c>
      <c r="N25" s="467">
        <f t="shared" si="4"/>
        <v>831365.519999999</v>
      </c>
      <c r="O25" s="467">
        <f t="shared" si="5"/>
        <v>1286812.48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35494.3711999994</v>
      </c>
      <c r="T25" s="467">
        <f t="shared" si="10"/>
        <v>0</v>
      </c>
      <c r="U25" s="467"/>
      <c r="V25" s="467">
        <f t="shared" si="12"/>
        <v>164494.371199999</v>
      </c>
      <c r="W25" s="474">
        <v>12</v>
      </c>
      <c r="X25" s="467">
        <f t="shared" si="13"/>
        <v>13707.8642666666</v>
      </c>
      <c r="Y25" s="467"/>
      <c r="Z25" s="467">
        <f t="shared" si="14"/>
        <v>13707.8642666666</v>
      </c>
      <c r="AA25" s="479">
        <v>23036.0123466667</v>
      </c>
      <c r="AB25" s="479">
        <f t="shared" si="15"/>
        <v>-9328.14808000008</v>
      </c>
      <c r="AC25" s="479"/>
      <c r="AD25" s="479"/>
      <c r="AE25" s="479"/>
    </row>
    <row r="26" ht="18" spans="1:31">
      <c r="A26" s="464">
        <v>23</v>
      </c>
      <c r="B26" s="4" t="s">
        <v>485</v>
      </c>
      <c r="C26" s="465">
        <v>165240.833333333</v>
      </c>
      <c r="D26" s="466">
        <v>12</v>
      </c>
      <c r="E26" s="467">
        <f t="shared" si="0"/>
        <v>1982890</v>
      </c>
      <c r="F26" s="467"/>
      <c r="G26" s="467">
        <v>259662.4</v>
      </c>
      <c r="H26" s="467"/>
      <c r="I26" s="467">
        <f t="shared" si="1"/>
        <v>1723227.6</v>
      </c>
      <c r="J26" s="467">
        <v>200000</v>
      </c>
      <c r="K26" s="467">
        <v>0.2</v>
      </c>
      <c r="L26" s="467">
        <f t="shared" si="2"/>
        <v>344645.519999999</v>
      </c>
      <c r="M26" s="467">
        <f t="shared" si="3"/>
        <v>544645.519999999</v>
      </c>
      <c r="N26" s="467">
        <f t="shared" si="4"/>
        <v>804307.919999999</v>
      </c>
      <c r="O26" s="467">
        <f t="shared" si="5"/>
        <v>1178582.08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14930.5951999994</v>
      </c>
      <c r="T26" s="467">
        <f t="shared" si="10"/>
        <v>0</v>
      </c>
      <c r="U26" s="467"/>
      <c r="V26" s="467">
        <f t="shared" si="12"/>
        <v>143930.595199999</v>
      </c>
      <c r="W26" s="474">
        <v>12</v>
      </c>
      <c r="X26" s="467">
        <f t="shared" si="13"/>
        <v>11994.2162666666</v>
      </c>
      <c r="Y26" s="467"/>
      <c r="Z26" s="467">
        <f t="shared" si="14"/>
        <v>11994.2162666666</v>
      </c>
      <c r="AA26" s="479">
        <v>29756.0123466667</v>
      </c>
      <c r="AB26" s="479">
        <f t="shared" si="15"/>
        <v>-17761.7960800001</v>
      </c>
      <c r="AC26" s="479"/>
      <c r="AD26" s="479"/>
      <c r="AE26" s="479"/>
    </row>
    <row r="27" ht="18" spans="1:31">
      <c r="A27" s="464">
        <v>24</v>
      </c>
      <c r="B27" s="18" t="s">
        <v>78</v>
      </c>
      <c r="C27" s="465">
        <v>165240.833333333</v>
      </c>
      <c r="D27" s="466">
        <v>12</v>
      </c>
      <c r="E27" s="467">
        <f t="shared" si="0"/>
        <v>1982890</v>
      </c>
      <c r="F27" s="467"/>
      <c r="G27" s="467">
        <v>252638.72</v>
      </c>
      <c r="H27" s="467"/>
      <c r="I27" s="467">
        <f t="shared" si="1"/>
        <v>1730251.28</v>
      </c>
      <c r="J27" s="467">
        <v>200000</v>
      </c>
      <c r="K27" s="467">
        <v>0.2</v>
      </c>
      <c r="L27" s="467">
        <f t="shared" si="2"/>
        <v>346050.255999999</v>
      </c>
      <c r="M27" s="467">
        <f t="shared" si="3"/>
        <v>546050.255999999</v>
      </c>
      <c r="N27" s="467">
        <f t="shared" si="4"/>
        <v>798688.975999999</v>
      </c>
      <c r="O27" s="467">
        <f t="shared" si="5"/>
        <v>1184201.024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15998.1945599994</v>
      </c>
      <c r="T27" s="467">
        <f t="shared" si="10"/>
        <v>0</v>
      </c>
      <c r="U27" s="467"/>
      <c r="V27" s="467">
        <f t="shared" si="12"/>
        <v>144998.194559999</v>
      </c>
      <c r="W27" s="474">
        <v>12</v>
      </c>
      <c r="X27" s="467">
        <f t="shared" si="13"/>
        <v>12083.1828799999</v>
      </c>
      <c r="Y27" s="467"/>
      <c r="Z27" s="467">
        <f t="shared" si="14"/>
        <v>12083.1828799999</v>
      </c>
      <c r="AA27" s="479">
        <v>22338.4826046667</v>
      </c>
      <c r="AB27" s="479">
        <f t="shared" si="15"/>
        <v>-10255.2997246668</v>
      </c>
      <c r="AC27" s="479"/>
      <c r="AD27" s="479"/>
      <c r="AE27" s="479"/>
    </row>
    <row r="28" ht="18" spans="1:31">
      <c r="A28" s="464">
        <v>25</v>
      </c>
      <c r="B28" s="11" t="s">
        <v>81</v>
      </c>
      <c r="C28" s="465">
        <v>185240.833333333</v>
      </c>
      <c r="D28" s="466">
        <v>12</v>
      </c>
      <c r="E28" s="467">
        <f t="shared" si="0"/>
        <v>2222890</v>
      </c>
      <c r="F28" s="467"/>
      <c r="G28" s="467">
        <v>245615.04</v>
      </c>
      <c r="H28" s="467"/>
      <c r="I28" s="467">
        <f t="shared" si="1"/>
        <v>1977274.96</v>
      </c>
      <c r="J28" s="467">
        <v>200000</v>
      </c>
      <c r="K28" s="467">
        <v>0.2</v>
      </c>
      <c r="L28" s="467">
        <f t="shared" si="2"/>
        <v>395454.991999999</v>
      </c>
      <c r="M28" s="467">
        <f t="shared" si="3"/>
        <v>595454.991999999</v>
      </c>
      <c r="N28" s="467">
        <f t="shared" si="4"/>
        <v>841070.031999999</v>
      </c>
      <c r="O28" s="467">
        <f t="shared" si="5"/>
        <v>1381819.968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53545.7939199994</v>
      </c>
      <c r="T28" s="467">
        <f t="shared" si="10"/>
        <v>0</v>
      </c>
      <c r="U28" s="467"/>
      <c r="V28" s="467">
        <f t="shared" si="12"/>
        <v>182545.793919999</v>
      </c>
      <c r="W28" s="474">
        <v>12</v>
      </c>
      <c r="X28" s="467">
        <f t="shared" si="13"/>
        <v>15212.1494933333</v>
      </c>
      <c r="Y28" s="467"/>
      <c r="Z28" s="467">
        <f t="shared" si="14"/>
        <v>15212.1494933333</v>
      </c>
      <c r="AA28" s="479">
        <v>21640.9528626667</v>
      </c>
      <c r="AB28" s="479">
        <f t="shared" si="15"/>
        <v>-6428.80336933342</v>
      </c>
      <c r="AC28" s="479"/>
      <c r="AD28" s="479"/>
      <c r="AE28" s="479"/>
    </row>
    <row r="29" ht="18" spans="1:31">
      <c r="A29" s="464">
        <v>26</v>
      </c>
      <c r="B29" s="18" t="s">
        <v>83</v>
      </c>
      <c r="C29" s="465">
        <v>161582.666666667</v>
      </c>
      <c r="D29" s="466">
        <v>12</v>
      </c>
      <c r="E29" s="467">
        <f t="shared" si="0"/>
        <v>1938992</v>
      </c>
      <c r="F29" s="467"/>
      <c r="G29" s="467">
        <v>245615.04</v>
      </c>
      <c r="H29" s="467"/>
      <c r="I29" s="467">
        <f t="shared" si="1"/>
        <v>1693376.96</v>
      </c>
      <c r="J29" s="467">
        <v>200000</v>
      </c>
      <c r="K29" s="467">
        <v>0.2</v>
      </c>
      <c r="L29" s="467">
        <f t="shared" si="2"/>
        <v>338675.392000001</v>
      </c>
      <c r="M29" s="467">
        <f t="shared" si="3"/>
        <v>538675.392000001</v>
      </c>
      <c r="N29" s="467">
        <f t="shared" si="4"/>
        <v>784290.432000001</v>
      </c>
      <c r="O29" s="467">
        <f t="shared" si="5"/>
        <v>1154701.568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10393.2979200006</v>
      </c>
      <c r="T29" s="467">
        <f t="shared" si="10"/>
        <v>0</v>
      </c>
      <c r="U29" s="467"/>
      <c r="V29" s="467">
        <f t="shared" si="12"/>
        <v>139393.297920001</v>
      </c>
      <c r="W29" s="474">
        <v>12</v>
      </c>
      <c r="X29" s="467">
        <f t="shared" si="13"/>
        <v>11616.1081600001</v>
      </c>
      <c r="Y29" s="467"/>
      <c r="Z29" s="467">
        <f t="shared" si="14"/>
        <v>11616.1081600001</v>
      </c>
      <c r="AA29" s="479">
        <v>21640.9528626667</v>
      </c>
      <c r="AB29" s="479">
        <f t="shared" si="15"/>
        <v>-10024.8447026666</v>
      </c>
      <c r="AC29" s="479"/>
      <c r="AD29" s="479"/>
      <c r="AE29" s="479"/>
    </row>
    <row r="30" ht="18" spans="1:31">
      <c r="A30" s="464">
        <v>27</v>
      </c>
      <c r="B30" s="18" t="s">
        <v>86</v>
      </c>
      <c r="C30" s="465">
        <v>157924.5</v>
      </c>
      <c r="D30" s="466">
        <v>12</v>
      </c>
      <c r="E30" s="467">
        <f t="shared" si="0"/>
        <v>1895094</v>
      </c>
      <c r="F30" s="467"/>
      <c r="G30" s="467">
        <v>259662.4</v>
      </c>
      <c r="H30" s="467"/>
      <c r="I30" s="467">
        <f t="shared" si="1"/>
        <v>1635431.6</v>
      </c>
      <c r="J30" s="467">
        <v>200000</v>
      </c>
      <c r="K30" s="467">
        <v>0.2</v>
      </c>
      <c r="L30" s="467">
        <f t="shared" si="2"/>
        <v>327086.32</v>
      </c>
      <c r="M30" s="467">
        <f t="shared" si="3"/>
        <v>527086.32</v>
      </c>
      <c r="N30" s="467">
        <f t="shared" si="4"/>
        <v>786748.72</v>
      </c>
      <c r="O30" s="467">
        <f t="shared" si="5"/>
        <v>1108345.28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1585.60319999996</v>
      </c>
      <c r="T30" s="467">
        <f t="shared" si="10"/>
        <v>0</v>
      </c>
      <c r="U30" s="467"/>
      <c r="V30" s="467">
        <f t="shared" si="12"/>
        <v>130585.6032</v>
      </c>
      <c r="W30" s="474">
        <v>12</v>
      </c>
      <c r="X30" s="467">
        <f t="shared" si="13"/>
        <v>10882.1336</v>
      </c>
      <c r="Y30" s="467"/>
      <c r="Z30" s="467">
        <f t="shared" si="14"/>
        <v>10882.1336</v>
      </c>
      <c r="AA30" s="479">
        <v>22338.4826046667</v>
      </c>
      <c r="AB30" s="479">
        <f t="shared" si="15"/>
        <v>-11456.3490046667</v>
      </c>
      <c r="AC30" s="479"/>
      <c r="AD30" s="479"/>
      <c r="AE30" s="479"/>
    </row>
    <row r="31" ht="18" spans="1:31">
      <c r="A31" s="464">
        <v>28</v>
      </c>
      <c r="B31" s="18" t="s">
        <v>89</v>
      </c>
      <c r="C31" s="465">
        <v>157924.5</v>
      </c>
      <c r="D31" s="466">
        <v>12</v>
      </c>
      <c r="E31" s="467">
        <f t="shared" si="0"/>
        <v>1895094</v>
      </c>
      <c r="F31" s="467"/>
      <c r="G31" s="468">
        <v>221406.64</v>
      </c>
      <c r="H31" s="467"/>
      <c r="I31" s="467">
        <f t="shared" si="1"/>
        <v>1673687.36</v>
      </c>
      <c r="J31" s="467">
        <v>200000</v>
      </c>
      <c r="K31" s="467">
        <v>0.2</v>
      </c>
      <c r="L31" s="467">
        <f t="shared" si="2"/>
        <v>334737.472</v>
      </c>
      <c r="M31" s="467">
        <f t="shared" si="3"/>
        <v>534737.472</v>
      </c>
      <c r="N31" s="467">
        <f t="shared" si="4"/>
        <v>756144.112</v>
      </c>
      <c r="O31" s="467">
        <f t="shared" si="5"/>
        <v>1138949.888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7400.47871999996</v>
      </c>
      <c r="T31" s="467">
        <f t="shared" si="10"/>
        <v>0</v>
      </c>
      <c r="U31" s="467"/>
      <c r="V31" s="467">
        <f t="shared" si="12"/>
        <v>136400.47872</v>
      </c>
      <c r="W31" s="474">
        <v>12</v>
      </c>
      <c r="X31" s="467">
        <f t="shared" si="13"/>
        <v>11366.70656</v>
      </c>
      <c r="Y31" s="467"/>
      <c r="Z31" s="467">
        <f t="shared" si="14"/>
        <v>11366.70656</v>
      </c>
      <c r="AA31" s="479">
        <v>17572.8850026667</v>
      </c>
      <c r="AB31" s="479">
        <f t="shared" si="15"/>
        <v>-6206.1784426667</v>
      </c>
      <c r="AC31" s="479"/>
      <c r="AD31" s="479"/>
      <c r="AE31" s="479"/>
    </row>
    <row r="32" ht="18" spans="1:31">
      <c r="A32" s="464">
        <v>29</v>
      </c>
      <c r="B32" s="18" t="s">
        <v>91</v>
      </c>
      <c r="C32" s="465">
        <v>165240.833333333</v>
      </c>
      <c r="D32" s="466">
        <v>12</v>
      </c>
      <c r="E32" s="467">
        <f t="shared" si="0"/>
        <v>1982890</v>
      </c>
      <c r="F32" s="467"/>
      <c r="G32" s="468">
        <f>17956.78*12</f>
        <v>215481.36</v>
      </c>
      <c r="H32" s="467"/>
      <c r="I32" s="467">
        <f t="shared" si="1"/>
        <v>1767408.64</v>
      </c>
      <c r="J32" s="467">
        <v>200000</v>
      </c>
      <c r="K32" s="467">
        <v>0.2</v>
      </c>
      <c r="L32" s="467">
        <f t="shared" si="2"/>
        <v>353481.727999999</v>
      </c>
      <c r="M32" s="467">
        <f t="shared" si="3"/>
        <v>553481.727999999</v>
      </c>
      <c r="N32" s="467">
        <f t="shared" si="4"/>
        <v>768963.087999999</v>
      </c>
      <c r="O32" s="467">
        <f t="shared" si="5"/>
        <v>1213926.912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21646.1132799994</v>
      </c>
      <c r="T32" s="467">
        <f t="shared" si="10"/>
        <v>0</v>
      </c>
      <c r="U32" s="467"/>
      <c r="V32" s="467">
        <f t="shared" si="12"/>
        <v>150646.113279999</v>
      </c>
      <c r="W32" s="474">
        <v>12</v>
      </c>
      <c r="X32" s="467">
        <f t="shared" si="13"/>
        <v>12553.8427733333</v>
      </c>
      <c r="Y32" s="467"/>
      <c r="Z32" s="467">
        <f t="shared" si="14"/>
        <v>12553.8427733333</v>
      </c>
      <c r="AA32" s="479">
        <v>16512.6821906667</v>
      </c>
      <c r="AB32" s="479">
        <f t="shared" si="15"/>
        <v>-3958.83941733342</v>
      </c>
      <c r="AC32" s="479"/>
      <c r="AD32" s="479"/>
      <c r="AE32" s="479"/>
    </row>
    <row r="33" ht="18" spans="1:31">
      <c r="A33" s="464"/>
      <c r="B33" s="18" t="s">
        <v>93</v>
      </c>
      <c r="C33" s="465">
        <v>157924.5</v>
      </c>
      <c r="D33" s="466">
        <v>12</v>
      </c>
      <c r="E33" s="467">
        <f t="shared" si="0"/>
        <v>1895094</v>
      </c>
      <c r="F33" s="467"/>
      <c r="G33" s="468">
        <f>17956.78*12</f>
        <v>215481.36</v>
      </c>
      <c r="H33" s="467"/>
      <c r="I33" s="467">
        <f t="shared" si="1"/>
        <v>1679612.64</v>
      </c>
      <c r="J33" s="467">
        <v>200000</v>
      </c>
      <c r="K33" s="467">
        <v>0.2</v>
      </c>
      <c r="L33" s="467">
        <f t="shared" si="2"/>
        <v>335922.528</v>
      </c>
      <c r="M33" s="467">
        <f t="shared" si="3"/>
        <v>535922.528</v>
      </c>
      <c r="N33" s="467">
        <f t="shared" si="4"/>
        <v>751403.888</v>
      </c>
      <c r="O33" s="467">
        <f t="shared" si="5"/>
        <v>1143690.112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8301.12127999999</v>
      </c>
      <c r="T33" s="467">
        <f t="shared" si="10"/>
        <v>0</v>
      </c>
      <c r="U33" s="467"/>
      <c r="V33" s="467">
        <f t="shared" si="12"/>
        <v>137301.12128</v>
      </c>
      <c r="W33" s="474">
        <v>12</v>
      </c>
      <c r="X33" s="467">
        <f t="shared" si="13"/>
        <v>11441.7601066667</v>
      </c>
      <c r="Y33" s="467"/>
      <c r="Z33" s="467">
        <f t="shared" si="14"/>
        <v>11441.7601066667</v>
      </c>
      <c r="AA33" s="479"/>
      <c r="AB33" s="479"/>
      <c r="AC33" s="479"/>
      <c r="AD33" s="479"/>
      <c r="AE33" s="479"/>
    </row>
    <row r="34" ht="18" spans="1:31">
      <c r="A34" s="464"/>
      <c r="B34" s="18" t="s">
        <v>95</v>
      </c>
      <c r="C34" s="465">
        <v>157924.5</v>
      </c>
      <c r="D34" s="466">
        <v>12</v>
      </c>
      <c r="E34" s="467">
        <f t="shared" si="0"/>
        <v>1895094</v>
      </c>
      <c r="F34" s="467"/>
      <c r="G34" s="468">
        <f>17956.78*12</f>
        <v>215481.36</v>
      </c>
      <c r="H34" s="467"/>
      <c r="I34" s="467">
        <f t="shared" si="1"/>
        <v>1679612.64</v>
      </c>
      <c r="J34" s="467">
        <v>200000</v>
      </c>
      <c r="K34" s="467">
        <v>0.2</v>
      </c>
      <c r="L34" s="467">
        <f t="shared" si="2"/>
        <v>335922.528</v>
      </c>
      <c r="M34" s="467">
        <f t="shared" si="3"/>
        <v>535922.528</v>
      </c>
      <c r="N34" s="467">
        <f t="shared" si="4"/>
        <v>751403.888</v>
      </c>
      <c r="O34" s="467">
        <f t="shared" si="5"/>
        <v>1143690.112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8301.12127999999</v>
      </c>
      <c r="T34" s="467">
        <f t="shared" si="10"/>
        <v>0</v>
      </c>
      <c r="U34" s="467"/>
      <c r="V34" s="467">
        <f t="shared" si="12"/>
        <v>137301.12128</v>
      </c>
      <c r="W34" s="474">
        <v>12</v>
      </c>
      <c r="X34" s="467">
        <f t="shared" si="13"/>
        <v>11441.7601066667</v>
      </c>
      <c r="Y34" s="467"/>
      <c r="Z34" s="467">
        <f t="shared" si="14"/>
        <v>11441.7601066667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103</v>
      </c>
      <c r="C35" s="467">
        <v>137229.875</v>
      </c>
      <c r="D35" s="466">
        <v>12</v>
      </c>
      <c r="E35" s="467">
        <f t="shared" si="0"/>
        <v>1646758.5</v>
      </c>
      <c r="F35" s="470"/>
      <c r="G35" s="468">
        <f>17956.78*12</f>
        <v>215481.36</v>
      </c>
      <c r="H35" s="470"/>
      <c r="I35" s="467">
        <f t="shared" si="1"/>
        <v>1431277.14</v>
      </c>
      <c r="J35" s="467">
        <v>200000</v>
      </c>
      <c r="K35" s="467">
        <v>0.2</v>
      </c>
      <c r="L35" s="467">
        <f t="shared" si="2"/>
        <v>286255.428</v>
      </c>
      <c r="M35" s="467">
        <f t="shared" si="3"/>
        <v>486255.428</v>
      </c>
      <c r="N35" s="467">
        <f t="shared" si="4"/>
        <v>701736.788</v>
      </c>
      <c r="O35" s="467">
        <f t="shared" si="5"/>
        <v>945021.712</v>
      </c>
      <c r="P35" s="467">
        <f t="shared" si="6"/>
        <v>21000</v>
      </c>
      <c r="Q35" s="467">
        <f t="shared" si="7"/>
        <v>33000</v>
      </c>
      <c r="R35" s="467">
        <f t="shared" si="8"/>
        <v>51753.2568</v>
      </c>
      <c r="S35" s="467">
        <f t="shared" si="9"/>
        <v>0</v>
      </c>
      <c r="T35" s="467">
        <f t="shared" si="10"/>
        <v>0</v>
      </c>
      <c r="U35" s="467"/>
      <c r="V35" s="467">
        <f t="shared" si="12"/>
        <v>105753.2568</v>
      </c>
      <c r="W35" s="474">
        <v>12</v>
      </c>
      <c r="X35" s="467">
        <f t="shared" si="13"/>
        <v>8812.7714</v>
      </c>
      <c r="Y35" s="470"/>
      <c r="Z35" s="467">
        <f t="shared" si="14"/>
        <v>8812.7714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106</v>
      </c>
      <c r="C36" s="467">
        <v>134143.791666667</v>
      </c>
      <c r="D36" s="466">
        <v>12</v>
      </c>
      <c r="E36" s="467">
        <f t="shared" si="0"/>
        <v>1609725.5</v>
      </c>
      <c r="F36" s="470"/>
      <c r="G36" s="468">
        <f>17956.78*12</f>
        <v>215481.36</v>
      </c>
      <c r="H36" s="470"/>
      <c r="I36" s="467">
        <f t="shared" si="1"/>
        <v>1394244.14</v>
      </c>
      <c r="J36" s="467">
        <v>200000</v>
      </c>
      <c r="K36" s="467">
        <v>0.2</v>
      </c>
      <c r="L36" s="467">
        <f t="shared" si="2"/>
        <v>278848.828000001</v>
      </c>
      <c r="M36" s="467">
        <f t="shared" si="3"/>
        <v>478848.828000001</v>
      </c>
      <c r="N36" s="467">
        <f t="shared" si="4"/>
        <v>694330.188000001</v>
      </c>
      <c r="O36" s="467">
        <f t="shared" si="5"/>
        <v>915395.312000003</v>
      </c>
      <c r="P36" s="467">
        <f t="shared" si="6"/>
        <v>21000</v>
      </c>
      <c r="Q36" s="467">
        <f t="shared" si="7"/>
        <v>33000</v>
      </c>
      <c r="R36" s="467">
        <f t="shared" si="8"/>
        <v>47309.2968000005</v>
      </c>
      <c r="S36" s="467">
        <f t="shared" si="9"/>
        <v>0</v>
      </c>
      <c r="T36" s="467">
        <f t="shared" si="10"/>
        <v>0</v>
      </c>
      <c r="U36" s="467"/>
      <c r="V36" s="467">
        <f t="shared" si="12"/>
        <v>101309.296800001</v>
      </c>
      <c r="W36" s="474">
        <v>12</v>
      </c>
      <c r="X36" s="467">
        <f t="shared" si="13"/>
        <v>8442.44140000004</v>
      </c>
      <c r="Y36" s="470"/>
      <c r="Z36" s="467">
        <f t="shared" si="14"/>
        <v>8442.44140000004</v>
      </c>
      <c r="AA36" s="479"/>
      <c r="AB36" s="479"/>
      <c r="AC36" s="479"/>
      <c r="AD36" s="479"/>
      <c r="AE36" s="479"/>
    </row>
    <row r="37" ht="18" spans="1:31">
      <c r="A37" s="464"/>
      <c r="B37" s="18"/>
      <c r="C37" s="467"/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8" spans="1:31">
      <c r="A38" s="464"/>
      <c r="B38" s="18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8" spans="1:31">
      <c r="A39" s="464"/>
      <c r="B39" s="18" t="s">
        <v>122</v>
      </c>
      <c r="C39" s="473">
        <v>767860</v>
      </c>
      <c r="D39" s="467">
        <v>12</v>
      </c>
      <c r="E39" s="467">
        <f t="shared" ref="E39:E42" si="16">C39*D39</f>
        <v>9214320</v>
      </c>
      <c r="F39" s="467"/>
      <c r="G39" s="468">
        <v>1378291.2</v>
      </c>
      <c r="H39" s="467"/>
      <c r="I39" s="467">
        <f t="shared" ref="I39:I42" si="17">E39-F39-G39-H39</f>
        <v>7836028.8</v>
      </c>
      <c r="J39" s="467">
        <v>200000</v>
      </c>
      <c r="K39" s="467">
        <v>0.2</v>
      </c>
      <c r="L39" s="467">
        <f t="shared" ref="L39:L42" si="18">I39*K39</f>
        <v>1567205.76</v>
      </c>
      <c r="M39" s="467">
        <f t="shared" ref="M39:M42" si="19">J39+L39</f>
        <v>1767205.76</v>
      </c>
      <c r="N39" s="467">
        <f t="shared" ref="N39:N42" si="20">F39+G39+H39+M39</f>
        <v>3145496.96</v>
      </c>
      <c r="O39" s="467">
        <f t="shared" ref="O39:O42" si="21">E39-N39</f>
        <v>6068823.04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>24%*(O39-3200000)</f>
        <v>688517.5296</v>
      </c>
      <c r="V39" s="467">
        <f t="shared" ref="V39:V42" si="27">P39+Q39+R39+S39+T39+U39</f>
        <v>1248517.5296</v>
      </c>
      <c r="W39" s="467">
        <v>12</v>
      </c>
      <c r="X39" s="467">
        <f t="shared" ref="X39:X42" si="28">V39/W39</f>
        <v>104043.127466667</v>
      </c>
      <c r="Y39" s="467"/>
      <c r="Z39" s="467">
        <f t="shared" ref="Z39:Z42" si="29">X39</f>
        <v>104043.127466667</v>
      </c>
      <c r="AA39" s="467">
        <v>161106.806858667</v>
      </c>
      <c r="AB39" s="467">
        <f t="shared" ref="AB39:AB42" si="30">Z39-AA39</f>
        <v>-57063.6793920003</v>
      </c>
      <c r="AC39" s="479"/>
      <c r="AD39" s="479"/>
      <c r="AE39" s="479"/>
    </row>
    <row r="40" ht="18" spans="1:31">
      <c r="A40" s="464"/>
      <c r="B40" s="18" t="s">
        <v>127</v>
      </c>
      <c r="C40" s="473">
        <v>176514.833333333</v>
      </c>
      <c r="D40" s="466">
        <v>12</v>
      </c>
      <c r="E40" s="467">
        <f t="shared" si="16"/>
        <v>2118178</v>
      </c>
      <c r="F40" s="467"/>
      <c r="G40" s="468">
        <v>281308.48</v>
      </c>
      <c r="H40" s="467"/>
      <c r="I40" s="467">
        <f t="shared" si="17"/>
        <v>1836869.52</v>
      </c>
      <c r="J40" s="467">
        <v>200000</v>
      </c>
      <c r="K40" s="467">
        <v>0.2</v>
      </c>
      <c r="L40" s="467">
        <f t="shared" si="18"/>
        <v>367373.903999999</v>
      </c>
      <c r="M40" s="467">
        <f t="shared" si="19"/>
        <v>567373.903999999</v>
      </c>
      <c r="N40" s="467">
        <f t="shared" si="20"/>
        <v>848682.383999999</v>
      </c>
      <c r="O40" s="467">
        <f t="shared" si="21"/>
        <v>1269495.616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32204.1670399994</v>
      </c>
      <c r="T40" s="467">
        <f t="shared" si="26"/>
        <v>0</v>
      </c>
      <c r="U40" s="467"/>
      <c r="V40" s="467">
        <f t="shared" si="27"/>
        <v>161204.167039999</v>
      </c>
      <c r="W40" s="467">
        <v>12</v>
      </c>
      <c r="X40" s="467">
        <f t="shared" si="28"/>
        <v>13433.6805866666</v>
      </c>
      <c r="Y40" s="467"/>
      <c r="Z40" s="467">
        <f t="shared" si="29"/>
        <v>13433.6805866666</v>
      </c>
      <c r="AA40" s="479">
        <v>17042.7138666667</v>
      </c>
      <c r="AB40" s="467">
        <f t="shared" si="30"/>
        <v>-3609.03328000009</v>
      </c>
      <c r="AC40" s="479"/>
      <c r="AD40" s="479"/>
      <c r="AE40" s="479"/>
    </row>
    <row r="41" ht="18" spans="1:31">
      <c r="A41" s="464">
        <v>33</v>
      </c>
      <c r="B41" s="11" t="s">
        <v>129</v>
      </c>
      <c r="C41" s="473">
        <v>180482.791666667</v>
      </c>
      <c r="D41" s="466">
        <v>12</v>
      </c>
      <c r="E41" s="467">
        <f t="shared" si="16"/>
        <v>2165793.5</v>
      </c>
      <c r="F41" s="467"/>
      <c r="G41" s="468">
        <v>288926.96</v>
      </c>
      <c r="H41" s="467"/>
      <c r="I41" s="467">
        <f t="shared" si="17"/>
        <v>1876866.54</v>
      </c>
      <c r="J41" s="467">
        <v>200000</v>
      </c>
      <c r="K41" s="467">
        <v>0.2</v>
      </c>
      <c r="L41" s="467">
        <f t="shared" si="18"/>
        <v>375373.308000001</v>
      </c>
      <c r="M41" s="467">
        <f t="shared" si="19"/>
        <v>575373.308000001</v>
      </c>
      <c r="N41" s="467">
        <f t="shared" si="20"/>
        <v>864300.268000001</v>
      </c>
      <c r="O41" s="467">
        <f t="shared" si="21"/>
        <v>1301493.232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38283.7140800006</v>
      </c>
      <c r="T41" s="467">
        <f t="shared" si="26"/>
        <v>0</v>
      </c>
      <c r="U41" s="467"/>
      <c r="V41" s="467">
        <f t="shared" si="27"/>
        <v>167283.714080001</v>
      </c>
      <c r="W41" s="467">
        <v>12</v>
      </c>
      <c r="X41" s="467">
        <f t="shared" si="28"/>
        <v>13940.3095066667</v>
      </c>
      <c r="Y41" s="467"/>
      <c r="Z41" s="467">
        <f t="shared" si="29"/>
        <v>13940.3095066667</v>
      </c>
      <c r="AA41" s="479">
        <v>26339.0784066667</v>
      </c>
      <c r="AB41" s="467">
        <f t="shared" si="30"/>
        <v>-12398.7689</v>
      </c>
      <c r="AC41" s="479"/>
      <c r="AD41" s="479"/>
      <c r="AE41" s="479"/>
    </row>
    <row r="42" ht="18" spans="1:31">
      <c r="A42" s="464">
        <v>33</v>
      </c>
      <c r="B42" s="11" t="s">
        <v>133</v>
      </c>
      <c r="C42" s="473">
        <v>157924.5</v>
      </c>
      <c r="D42" s="466">
        <v>12</v>
      </c>
      <c r="E42" s="467">
        <f t="shared" si="16"/>
        <v>1895094</v>
      </c>
      <c r="F42" s="467"/>
      <c r="G42" s="468">
        <v>288926.96</v>
      </c>
      <c r="H42" s="467"/>
      <c r="I42" s="467">
        <f t="shared" si="17"/>
        <v>1606167.04</v>
      </c>
      <c r="J42" s="467">
        <v>200000</v>
      </c>
      <c r="K42" s="467">
        <v>0.2</v>
      </c>
      <c r="L42" s="467">
        <f t="shared" si="18"/>
        <v>321233.408</v>
      </c>
      <c r="M42" s="467">
        <f t="shared" si="19"/>
        <v>521233.408</v>
      </c>
      <c r="N42" s="467">
        <f t="shared" si="20"/>
        <v>810160.368</v>
      </c>
      <c r="O42" s="467">
        <f t="shared" si="21"/>
        <v>1084933.632</v>
      </c>
      <c r="P42" s="467">
        <f t="shared" si="22"/>
        <v>21000</v>
      </c>
      <c r="Q42" s="467">
        <f t="shared" si="23"/>
        <v>33000</v>
      </c>
      <c r="R42" s="467">
        <f t="shared" si="24"/>
        <v>72740.0448</v>
      </c>
      <c r="S42" s="467">
        <f t="shared" si="25"/>
        <v>0</v>
      </c>
      <c r="T42" s="467">
        <f t="shared" si="26"/>
        <v>0</v>
      </c>
      <c r="U42" s="467"/>
      <c r="V42" s="467">
        <f t="shared" si="27"/>
        <v>126740.0448</v>
      </c>
      <c r="W42" s="467">
        <v>12</v>
      </c>
      <c r="X42" s="467">
        <f t="shared" si="28"/>
        <v>10561.6704</v>
      </c>
      <c r="Y42" s="467"/>
      <c r="Z42" s="467">
        <f t="shared" si="29"/>
        <v>10561.6704</v>
      </c>
      <c r="AA42" s="479">
        <v>26339.0784066667</v>
      </c>
      <c r="AB42" s="467">
        <f t="shared" si="30"/>
        <v>-15777.4080066667</v>
      </c>
      <c r="AC42" s="479"/>
      <c r="AD42" s="479"/>
      <c r="AE42" s="479"/>
    </row>
    <row r="43" ht="18" spans="1:31">
      <c r="A43" s="464"/>
      <c r="B43" s="14"/>
      <c r="C43" s="473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467"/>
      <c r="AA43" s="479"/>
      <c r="AB43" s="479"/>
      <c r="AC43" s="479"/>
      <c r="AD43" s="479"/>
      <c r="AE43" s="479"/>
    </row>
    <row r="44" ht="17.5" spans="1:31">
      <c r="A44" s="464"/>
      <c r="B44" s="23" t="s">
        <v>137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36" spans="1:31">
      <c r="A45" s="464">
        <v>35</v>
      </c>
      <c r="B45" s="11" t="s">
        <v>837</v>
      </c>
      <c r="C45" s="465">
        <v>1635720</v>
      </c>
      <c r="D45" s="466">
        <v>12</v>
      </c>
      <c r="E45" s="467">
        <f t="shared" ref="E45:E54" si="31">C45*D45</f>
        <v>19628640</v>
      </c>
      <c r="F45" s="467"/>
      <c r="G45" s="468">
        <v>1378291.2</v>
      </c>
      <c r="H45" s="467"/>
      <c r="I45" s="467">
        <f t="shared" ref="I45:I54" si="32">E45-F45-G45-H45</f>
        <v>18250348.8</v>
      </c>
      <c r="J45" s="467">
        <v>200000</v>
      </c>
      <c r="K45" s="467">
        <v>0.2</v>
      </c>
      <c r="L45" s="467">
        <f t="shared" ref="L45:L54" si="33">I45*K45</f>
        <v>3650069.76</v>
      </c>
      <c r="M45" s="467">
        <f t="shared" ref="M45:M54" si="34">J45+L45</f>
        <v>3850069.76</v>
      </c>
      <c r="N45" s="467">
        <f t="shared" ref="N45:N54" si="35">F45+G45+H45+M45</f>
        <v>5228360.96</v>
      </c>
      <c r="O45" s="467">
        <f t="shared" ref="O45:O54" si="36">E45-N45</f>
        <v>14400279.04</v>
      </c>
      <c r="P45" s="467">
        <f t="shared" ref="P45:P54" si="37">IF(O45&lt;300000,0.07*O45,21000)</f>
        <v>21000</v>
      </c>
      <c r="Q45" s="467">
        <f t="shared" ref="Q45:Q54" si="38">IF((O45-300000)&lt;0,0,IF((O45-300000)&lt;300000,0.11*(O45-300000),33000))</f>
        <v>33000</v>
      </c>
      <c r="R45" s="467">
        <f t="shared" ref="R45:R54" si="39">IF((O45-600000)&lt;0,0,IF((O45-600000)&lt;500000,0.15*(O45-600000),75000))</f>
        <v>75000</v>
      </c>
      <c r="S45" s="467">
        <f t="shared" ref="S45:S54" si="40">IF((O45-1100000)&lt;0,0,IF((O45-1100000)&lt;500000,0.19*(O45-1100000),95000))</f>
        <v>95000</v>
      </c>
      <c r="T45" s="467">
        <f t="shared" ref="T45:T54" si="41">IF((O45-1600000)&lt;0,0,IF((O45-1600000)&lt;1600000,0.21*(O45-1600000),336000))</f>
        <v>336000</v>
      </c>
      <c r="U45" s="467">
        <f>0.24*(O45-3200000)</f>
        <v>2688066.9696</v>
      </c>
      <c r="V45" s="467">
        <f t="shared" ref="V45:V54" si="42">P45+Q45+R45+S45+T45+U45</f>
        <v>3248066.9696</v>
      </c>
      <c r="W45" s="474">
        <v>12</v>
      </c>
      <c r="X45" s="467">
        <f t="shared" ref="X45:X54" si="43">V45/W45</f>
        <v>270672.247466667</v>
      </c>
      <c r="Y45" s="467"/>
      <c r="Z45" s="467">
        <f t="shared" ref="Z45:Z54" si="44">X45</f>
        <v>270672.247466667</v>
      </c>
      <c r="AA45" s="479">
        <v>180306.806858667</v>
      </c>
      <c r="AB45" s="479">
        <f t="shared" ref="AB45:AB54" si="45">Z45-AA45</f>
        <v>90365.4406079996</v>
      </c>
      <c r="AC45" s="479"/>
      <c r="AD45" s="479"/>
      <c r="AE45" s="479"/>
    </row>
    <row r="46" ht="18" spans="1:31">
      <c r="A46" s="464">
        <v>36</v>
      </c>
      <c r="B46" s="11" t="s">
        <v>839</v>
      </c>
      <c r="C46" s="467">
        <v>780675.583333333</v>
      </c>
      <c r="D46" s="466">
        <v>12</v>
      </c>
      <c r="E46" s="467">
        <f t="shared" si="31"/>
        <v>9368107</v>
      </c>
      <c r="F46" s="470"/>
      <c r="G46" s="468">
        <v>595848.56</v>
      </c>
      <c r="H46" s="470"/>
      <c r="I46" s="467">
        <f t="shared" si="32"/>
        <v>8772258.44</v>
      </c>
      <c r="J46" s="467">
        <v>200000</v>
      </c>
      <c r="K46" s="467">
        <v>0.2</v>
      </c>
      <c r="L46" s="467">
        <f t="shared" si="33"/>
        <v>1754451.688</v>
      </c>
      <c r="M46" s="467">
        <f t="shared" si="34"/>
        <v>1954451.688</v>
      </c>
      <c r="N46" s="467">
        <f t="shared" si="35"/>
        <v>2550300.248</v>
      </c>
      <c r="O46" s="467">
        <f t="shared" si="36"/>
        <v>6817806.752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ref="U46:U52" si="46">24%*(O46-3200000)</f>
        <v>868273.620479999</v>
      </c>
      <c r="V46" s="467">
        <f t="shared" si="42"/>
        <v>1428273.62048</v>
      </c>
      <c r="W46" s="474">
        <v>12</v>
      </c>
      <c r="X46" s="467">
        <f t="shared" si="43"/>
        <v>119022.801706667</v>
      </c>
      <c r="Y46" s="470"/>
      <c r="Z46" s="467">
        <f t="shared" si="44"/>
        <v>119022.801706667</v>
      </c>
      <c r="AA46" s="479">
        <v>79956.9391466667</v>
      </c>
      <c r="AB46" s="479">
        <f t="shared" si="45"/>
        <v>39065.8625599999</v>
      </c>
      <c r="AC46" s="479"/>
      <c r="AD46" s="479"/>
      <c r="AE46" s="479"/>
    </row>
    <row r="47" ht="18" spans="1:31">
      <c r="A47" s="464">
        <v>37</v>
      </c>
      <c r="B47" s="11" t="s">
        <v>138</v>
      </c>
      <c r="C47" s="467">
        <v>919203.583333333</v>
      </c>
      <c r="D47" s="466">
        <v>12</v>
      </c>
      <c r="E47" s="467">
        <f t="shared" si="31"/>
        <v>11030443</v>
      </c>
      <c r="F47" s="470"/>
      <c r="G47" s="468">
        <v>709635.44</v>
      </c>
      <c r="H47" s="470"/>
      <c r="I47" s="467">
        <f t="shared" si="32"/>
        <v>10320807.56</v>
      </c>
      <c r="J47" s="467">
        <v>200000</v>
      </c>
      <c r="K47" s="467">
        <v>0.2</v>
      </c>
      <c r="L47" s="467">
        <f t="shared" si="33"/>
        <v>2064161.512</v>
      </c>
      <c r="M47" s="467">
        <f t="shared" si="34"/>
        <v>2264161.512</v>
      </c>
      <c r="N47" s="467">
        <f t="shared" si="35"/>
        <v>2973796.952</v>
      </c>
      <c r="O47" s="467">
        <f t="shared" si="36"/>
        <v>8056646.048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1165595.05152</v>
      </c>
      <c r="V47" s="467">
        <f t="shared" si="42"/>
        <v>1725595.05152</v>
      </c>
      <c r="W47" s="474">
        <v>12</v>
      </c>
      <c r="X47" s="467">
        <f t="shared" si="43"/>
        <v>143799.587626667</v>
      </c>
      <c r="Y47" s="470"/>
      <c r="Z47" s="467">
        <f t="shared" si="44"/>
        <v>143799.587626667</v>
      </c>
      <c r="AA47" s="479">
        <v>97273.5138506667</v>
      </c>
      <c r="AB47" s="479">
        <f t="shared" si="45"/>
        <v>46526.0737759999</v>
      </c>
      <c r="AC47" s="479"/>
      <c r="AD47" s="479"/>
      <c r="AE47" s="479"/>
    </row>
    <row r="48" ht="18" spans="1:31">
      <c r="A48" s="464">
        <v>38</v>
      </c>
      <c r="B48" s="11" t="s">
        <v>141</v>
      </c>
      <c r="C48" s="467">
        <v>780675.583333333</v>
      </c>
      <c r="D48" s="466">
        <v>12</v>
      </c>
      <c r="E48" s="467">
        <f t="shared" si="31"/>
        <v>9368107</v>
      </c>
      <c r="F48" s="470"/>
      <c r="G48" s="468">
        <v>595848.56</v>
      </c>
      <c r="H48" s="470"/>
      <c r="I48" s="467">
        <f t="shared" si="32"/>
        <v>8772258.44</v>
      </c>
      <c r="J48" s="467">
        <v>200000</v>
      </c>
      <c r="K48" s="467">
        <v>0.2</v>
      </c>
      <c r="L48" s="467">
        <f t="shared" si="33"/>
        <v>1754451.688</v>
      </c>
      <c r="M48" s="467">
        <f t="shared" si="34"/>
        <v>1954451.688</v>
      </c>
      <c r="N48" s="467">
        <f t="shared" si="35"/>
        <v>2550300.248</v>
      </c>
      <c r="O48" s="467">
        <f t="shared" si="36"/>
        <v>6817806.752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336000</v>
      </c>
      <c r="U48" s="467">
        <f t="shared" si="46"/>
        <v>868273.620479999</v>
      </c>
      <c r="V48" s="467">
        <f t="shared" si="42"/>
        <v>1428273.62048</v>
      </c>
      <c r="W48" s="474">
        <v>12</v>
      </c>
      <c r="X48" s="467">
        <f t="shared" si="43"/>
        <v>119022.801706667</v>
      </c>
      <c r="Y48" s="470"/>
      <c r="Z48" s="467">
        <f t="shared" si="44"/>
        <v>119022.801706667</v>
      </c>
      <c r="AA48" s="479">
        <v>79956.9391466667</v>
      </c>
      <c r="AB48" s="479">
        <f t="shared" si="45"/>
        <v>39065.8625599999</v>
      </c>
      <c r="AC48" s="479"/>
      <c r="AD48" s="479"/>
      <c r="AE48" s="479"/>
    </row>
    <row r="49" ht="18" spans="1:31">
      <c r="A49" s="464">
        <v>39</v>
      </c>
      <c r="B49" s="11" t="s">
        <v>143</v>
      </c>
      <c r="C49" s="467">
        <v>780675.583333333</v>
      </c>
      <c r="D49" s="466">
        <v>12</v>
      </c>
      <c r="E49" s="467">
        <f t="shared" si="31"/>
        <v>9368107</v>
      </c>
      <c r="F49" s="467">
        <f>'[6]JANUARY 2024'!$V$47*12</f>
        <v>10052.25</v>
      </c>
      <c r="G49" s="468">
        <v>595848.56</v>
      </c>
      <c r="H49" s="470"/>
      <c r="I49" s="467">
        <f t="shared" si="32"/>
        <v>8762206.19</v>
      </c>
      <c r="J49" s="467">
        <v>200000</v>
      </c>
      <c r="K49" s="467">
        <v>0.2</v>
      </c>
      <c r="L49" s="467">
        <f t="shared" si="33"/>
        <v>1752441.238</v>
      </c>
      <c r="M49" s="467">
        <f t="shared" si="34"/>
        <v>1952441.238</v>
      </c>
      <c r="N49" s="467">
        <f t="shared" si="35"/>
        <v>2558342.048</v>
      </c>
      <c r="O49" s="467">
        <f t="shared" si="36"/>
        <v>6809764.952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336000</v>
      </c>
      <c r="U49" s="467">
        <f t="shared" si="46"/>
        <v>866343.588479999</v>
      </c>
      <c r="V49" s="467">
        <f t="shared" si="42"/>
        <v>1426343.58848</v>
      </c>
      <c r="W49" s="474">
        <v>12</v>
      </c>
      <c r="X49" s="467">
        <f t="shared" si="43"/>
        <v>118861.965706667</v>
      </c>
      <c r="Y49" s="470"/>
      <c r="Z49" s="467">
        <f t="shared" si="44"/>
        <v>118861.965706667</v>
      </c>
      <c r="AA49" s="479">
        <v>79796.1031466666</v>
      </c>
      <c r="AB49" s="479">
        <f t="shared" si="45"/>
        <v>39065.86256</v>
      </c>
      <c r="AC49" s="479"/>
      <c r="AD49" s="479"/>
      <c r="AE49" s="479"/>
    </row>
    <row r="50" ht="18" spans="1:31">
      <c r="A50" s="464">
        <v>40</v>
      </c>
      <c r="B50" s="11" t="s">
        <v>144</v>
      </c>
      <c r="C50" s="467">
        <v>742118.083333333</v>
      </c>
      <c r="D50" s="466">
        <v>12</v>
      </c>
      <c r="E50" s="467">
        <f t="shared" si="31"/>
        <v>8905417</v>
      </c>
      <c r="F50" s="467"/>
      <c r="G50" s="468">
        <v>558833.36</v>
      </c>
      <c r="H50" s="470"/>
      <c r="I50" s="467">
        <f t="shared" si="32"/>
        <v>8346583.64</v>
      </c>
      <c r="J50" s="467">
        <v>200000</v>
      </c>
      <c r="K50" s="467">
        <v>0.2</v>
      </c>
      <c r="L50" s="467">
        <f t="shared" si="33"/>
        <v>1669316.728</v>
      </c>
      <c r="M50" s="467">
        <f t="shared" si="34"/>
        <v>1869316.728</v>
      </c>
      <c r="N50" s="467">
        <f t="shared" si="35"/>
        <v>2428150.088</v>
      </c>
      <c r="O50" s="467">
        <f t="shared" si="36"/>
        <v>6477266.912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336000</v>
      </c>
      <c r="U50" s="467">
        <f t="shared" si="46"/>
        <v>786544.058879999</v>
      </c>
      <c r="V50" s="467">
        <f t="shared" si="42"/>
        <v>1346544.05888</v>
      </c>
      <c r="W50" s="474">
        <v>12</v>
      </c>
      <c r="X50" s="467">
        <f t="shared" si="43"/>
        <v>112212.004906667</v>
      </c>
      <c r="Y50" s="470"/>
      <c r="Z50" s="467">
        <f t="shared" si="44"/>
        <v>112212.004906667</v>
      </c>
      <c r="AA50" s="479">
        <v>75572.9156906667</v>
      </c>
      <c r="AB50" s="479">
        <f t="shared" si="45"/>
        <v>36639.0892159999</v>
      </c>
      <c r="AC50" s="479"/>
      <c r="AD50" s="479"/>
      <c r="AE50" s="479"/>
    </row>
    <row r="51" ht="18" spans="1:31">
      <c r="A51" s="464">
        <v>41</v>
      </c>
      <c r="B51" s="14" t="s">
        <v>145</v>
      </c>
      <c r="C51" s="467">
        <v>610498</v>
      </c>
      <c r="D51" s="466">
        <v>12</v>
      </c>
      <c r="E51" s="467">
        <f t="shared" si="31"/>
        <v>7325976</v>
      </c>
      <c r="F51" s="467"/>
      <c r="G51" s="468">
        <v>451678.08</v>
      </c>
      <c r="H51" s="470"/>
      <c r="I51" s="467">
        <f t="shared" si="32"/>
        <v>6874297.92</v>
      </c>
      <c r="J51" s="467">
        <v>200000</v>
      </c>
      <c r="K51" s="467">
        <v>0.2</v>
      </c>
      <c r="L51" s="467">
        <f t="shared" si="33"/>
        <v>1374859.584</v>
      </c>
      <c r="M51" s="467">
        <f t="shared" si="34"/>
        <v>1574859.584</v>
      </c>
      <c r="N51" s="467">
        <f t="shared" si="35"/>
        <v>2026537.664</v>
      </c>
      <c r="O51" s="467">
        <f t="shared" si="36"/>
        <v>5299438.336</v>
      </c>
      <c r="P51" s="467">
        <f t="shared" si="37"/>
        <v>21000</v>
      </c>
      <c r="Q51" s="467">
        <f t="shared" si="38"/>
        <v>33000</v>
      </c>
      <c r="R51" s="467">
        <f t="shared" si="39"/>
        <v>75000</v>
      </c>
      <c r="S51" s="467">
        <f t="shared" si="40"/>
        <v>95000</v>
      </c>
      <c r="T51" s="467">
        <f t="shared" si="41"/>
        <v>336000</v>
      </c>
      <c r="U51" s="467">
        <f t="shared" si="46"/>
        <v>503865.20064</v>
      </c>
      <c r="V51" s="467">
        <f t="shared" si="42"/>
        <v>1063865.20064</v>
      </c>
      <c r="W51" s="474">
        <v>12</v>
      </c>
      <c r="X51" s="467">
        <f t="shared" si="43"/>
        <v>88655.4333866667</v>
      </c>
      <c r="Y51" s="470"/>
      <c r="Z51" s="467">
        <f t="shared" si="44"/>
        <v>88655.4333866667</v>
      </c>
      <c r="AA51" s="479">
        <v>58026.6094346667</v>
      </c>
      <c r="AB51" s="479">
        <f t="shared" si="45"/>
        <v>30628.823952</v>
      </c>
      <c r="AC51" s="479"/>
      <c r="AD51" s="479"/>
      <c r="AE51" s="479"/>
    </row>
    <row r="52" ht="18" spans="1:31">
      <c r="A52" s="464">
        <v>42</v>
      </c>
      <c r="B52" s="11" t="s">
        <v>149</v>
      </c>
      <c r="C52" s="467">
        <v>400965.583333333</v>
      </c>
      <c r="D52" s="466">
        <v>12</v>
      </c>
      <c r="E52" s="467">
        <f t="shared" si="31"/>
        <v>4811587</v>
      </c>
      <c r="F52" s="467"/>
      <c r="G52" s="468">
        <v>288926.96</v>
      </c>
      <c r="H52" s="470"/>
      <c r="I52" s="467">
        <f t="shared" si="32"/>
        <v>4522660.04</v>
      </c>
      <c r="J52" s="467">
        <v>200000</v>
      </c>
      <c r="K52" s="467">
        <v>0.2</v>
      </c>
      <c r="L52" s="467">
        <f t="shared" si="33"/>
        <v>904532.007999999</v>
      </c>
      <c r="M52" s="467">
        <f t="shared" si="34"/>
        <v>1104532.008</v>
      </c>
      <c r="N52" s="467">
        <f t="shared" si="35"/>
        <v>1393458.968</v>
      </c>
      <c r="O52" s="467">
        <f t="shared" si="36"/>
        <v>3418128.032</v>
      </c>
      <c r="P52" s="467">
        <f t="shared" si="37"/>
        <v>21000</v>
      </c>
      <c r="Q52" s="467">
        <f t="shared" si="38"/>
        <v>33000</v>
      </c>
      <c r="R52" s="467">
        <f t="shared" si="39"/>
        <v>75000</v>
      </c>
      <c r="S52" s="467">
        <f t="shared" si="40"/>
        <v>95000</v>
      </c>
      <c r="T52" s="467">
        <f t="shared" si="41"/>
        <v>336000</v>
      </c>
      <c r="U52" s="467">
        <f t="shared" si="46"/>
        <v>52350.7276799992</v>
      </c>
      <c r="V52" s="467">
        <f t="shared" si="42"/>
        <v>612350.727679999</v>
      </c>
      <c r="W52" s="474">
        <v>12</v>
      </c>
      <c r="X52" s="467">
        <f t="shared" si="43"/>
        <v>51029.2273066666</v>
      </c>
      <c r="Y52" s="470"/>
      <c r="Z52" s="467">
        <f t="shared" si="44"/>
        <v>51029.2273066666</v>
      </c>
      <c r="AA52" s="479">
        <v>33059.0784066667</v>
      </c>
      <c r="AB52" s="479">
        <f t="shared" si="45"/>
        <v>17970.1488999999</v>
      </c>
      <c r="AC52" s="479"/>
      <c r="AD52" s="479"/>
      <c r="AE52" s="479"/>
    </row>
    <row r="53" ht="18" spans="1:31">
      <c r="A53" s="464">
        <v>43</v>
      </c>
      <c r="B53" s="11" t="s">
        <v>153</v>
      </c>
      <c r="C53" s="467">
        <v>363165.333333333</v>
      </c>
      <c r="D53" s="466">
        <v>12</v>
      </c>
      <c r="E53" s="467">
        <f t="shared" si="31"/>
        <v>4357984</v>
      </c>
      <c r="F53" s="467"/>
      <c r="G53" s="468">
        <v>252638.72</v>
      </c>
      <c r="H53" s="470"/>
      <c r="I53" s="467">
        <f t="shared" si="32"/>
        <v>4105345.28</v>
      </c>
      <c r="J53" s="467">
        <v>200000</v>
      </c>
      <c r="K53" s="467">
        <v>0.2</v>
      </c>
      <c r="L53" s="467">
        <f t="shared" si="33"/>
        <v>821069.055999999</v>
      </c>
      <c r="M53" s="467">
        <f t="shared" si="34"/>
        <v>1021069.056</v>
      </c>
      <c r="N53" s="467">
        <f t="shared" si="35"/>
        <v>1273707.776</v>
      </c>
      <c r="O53" s="467">
        <f t="shared" si="36"/>
        <v>3084276.224</v>
      </c>
      <c r="P53" s="467">
        <f t="shared" si="37"/>
        <v>21000</v>
      </c>
      <c r="Q53" s="467">
        <f t="shared" si="38"/>
        <v>33000</v>
      </c>
      <c r="R53" s="467">
        <f t="shared" si="39"/>
        <v>75000</v>
      </c>
      <c r="S53" s="467">
        <f t="shared" si="40"/>
        <v>95000</v>
      </c>
      <c r="T53" s="467">
        <f t="shared" si="41"/>
        <v>311698.007039999</v>
      </c>
      <c r="U53" s="467"/>
      <c r="V53" s="467">
        <f t="shared" si="42"/>
        <v>535698.007039999</v>
      </c>
      <c r="W53" s="474">
        <v>12</v>
      </c>
      <c r="X53" s="467">
        <f t="shared" si="43"/>
        <v>44641.5005866666</v>
      </c>
      <c r="Y53" s="470"/>
      <c r="Z53" s="467">
        <f t="shared" si="44"/>
        <v>44641.5005866666</v>
      </c>
      <c r="AA53" s="479">
        <v>29058.4826046667</v>
      </c>
      <c r="AB53" s="479">
        <f t="shared" si="45"/>
        <v>15583.0179819999</v>
      </c>
      <c r="AC53" s="479"/>
      <c r="AD53" s="479"/>
      <c r="AE53" s="479"/>
    </row>
    <row r="54" ht="18" spans="1:31">
      <c r="A54" s="464">
        <v>44</v>
      </c>
      <c r="B54" s="11" t="s">
        <v>154</v>
      </c>
      <c r="C54" s="467">
        <v>363165.333333333</v>
      </c>
      <c r="D54" s="466">
        <v>12</v>
      </c>
      <c r="E54" s="467">
        <f t="shared" si="31"/>
        <v>4357984</v>
      </c>
      <c r="F54" s="467"/>
      <c r="G54" s="468">
        <v>252638.72</v>
      </c>
      <c r="H54" s="470"/>
      <c r="I54" s="467">
        <f t="shared" si="32"/>
        <v>4105345.28</v>
      </c>
      <c r="J54" s="467">
        <v>200000</v>
      </c>
      <c r="K54" s="467">
        <v>0.2</v>
      </c>
      <c r="L54" s="467">
        <f t="shared" si="33"/>
        <v>821069.055999999</v>
      </c>
      <c r="M54" s="467">
        <f t="shared" si="34"/>
        <v>1021069.056</v>
      </c>
      <c r="N54" s="467">
        <f t="shared" si="35"/>
        <v>1273707.776</v>
      </c>
      <c r="O54" s="467">
        <f t="shared" si="36"/>
        <v>3084276.224</v>
      </c>
      <c r="P54" s="467">
        <f t="shared" si="37"/>
        <v>21000</v>
      </c>
      <c r="Q54" s="467">
        <f t="shared" si="38"/>
        <v>33000</v>
      </c>
      <c r="R54" s="467">
        <f t="shared" si="39"/>
        <v>75000</v>
      </c>
      <c r="S54" s="467">
        <f t="shared" si="40"/>
        <v>95000</v>
      </c>
      <c r="T54" s="467">
        <f t="shared" si="41"/>
        <v>311698.007039999</v>
      </c>
      <c r="U54" s="467"/>
      <c r="V54" s="467">
        <f t="shared" si="42"/>
        <v>535698.007039999</v>
      </c>
      <c r="W54" s="474">
        <v>12</v>
      </c>
      <c r="X54" s="467">
        <f t="shared" si="43"/>
        <v>44641.5005866666</v>
      </c>
      <c r="Y54" s="470"/>
      <c r="Z54" s="467">
        <f t="shared" si="44"/>
        <v>44641.5005866666</v>
      </c>
      <c r="AA54" s="479">
        <v>28360.9528626667</v>
      </c>
      <c r="AB54" s="479">
        <f t="shared" si="45"/>
        <v>16280.5477239999</v>
      </c>
      <c r="AC54" s="479"/>
      <c r="AD54" s="479"/>
      <c r="AE54" s="479"/>
    </row>
    <row r="55" ht="17.5" spans="1:31">
      <c r="A55" s="464"/>
      <c r="B55" s="22"/>
      <c r="C55" s="472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156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157</v>
      </c>
      <c r="C58" s="467">
        <v>1635720</v>
      </c>
      <c r="D58" s="466">
        <v>12</v>
      </c>
      <c r="E58" s="467">
        <f t="shared" ref="E58:E71" si="47">C58*D58</f>
        <v>19628640</v>
      </c>
      <c r="F58" s="467"/>
      <c r="G58" s="468">
        <v>1378291.2</v>
      </c>
      <c r="H58" s="470"/>
      <c r="I58" s="467">
        <f t="shared" ref="I58:I71" si="48">E58-F58-G58-H58</f>
        <v>18250348.8</v>
      </c>
      <c r="J58" s="467">
        <v>200000</v>
      </c>
      <c r="K58" s="467">
        <v>0.2</v>
      </c>
      <c r="L58" s="467">
        <f t="shared" ref="L58:L71" si="49">I58*K58</f>
        <v>3650069.76</v>
      </c>
      <c r="M58" s="467">
        <f t="shared" ref="M58:M71" si="50">J58+L58</f>
        <v>3850069.76</v>
      </c>
      <c r="N58" s="467">
        <f t="shared" ref="N58:N71" si="51">F58+G58+H58+M58</f>
        <v>5228360.96</v>
      </c>
      <c r="O58" s="467">
        <f t="shared" ref="O58:O71" si="52">E58-N58</f>
        <v>14400279.04</v>
      </c>
      <c r="P58" s="467">
        <f t="shared" ref="P58:P71" si="53">IF(O58&lt;300000,0.07*O58,21000)</f>
        <v>21000</v>
      </c>
      <c r="Q58" s="467">
        <f t="shared" ref="Q58:Q71" si="54">IF((O58-300000)&lt;0,0,IF((O58-300000)&lt;300000,0.11*(O58-300000),33000))</f>
        <v>33000</v>
      </c>
      <c r="R58" s="467">
        <f t="shared" ref="R58:R71" si="55">IF((O58-600000)&lt;0,0,IF((O58-600000)&lt;500000,0.15*(O58-600000),75000))</f>
        <v>75000</v>
      </c>
      <c r="S58" s="467">
        <f t="shared" ref="S58:S71" si="56">IF((O58-1100000)&lt;0,0,IF((O58-1100000)&lt;500000,0.19*(O58-1100000),95000))</f>
        <v>95000</v>
      </c>
      <c r="T58" s="467">
        <f t="shared" ref="T58:T71" si="57">IF((O58-1600000)&lt;0,0,IF((O58-1600000)&lt;1600000,0.21*(O58-1600000),336000))</f>
        <v>336000</v>
      </c>
      <c r="U58" s="467">
        <f t="shared" ref="U58:U71" si="58">24%*(O58-3200000)</f>
        <v>2688066.9696</v>
      </c>
      <c r="V58" s="467">
        <f t="shared" ref="V58:V71" si="59">P58+Q58+R58+S58+T58+U58</f>
        <v>3248066.9696</v>
      </c>
      <c r="W58" s="474">
        <v>12</v>
      </c>
      <c r="X58" s="467">
        <f t="shared" ref="X58:X71" si="60">V58/W58</f>
        <v>270672.247466667</v>
      </c>
      <c r="Y58" s="470"/>
      <c r="Z58" s="467">
        <f t="shared" ref="Z58:Z71" si="61">X58</f>
        <v>270672.247466667</v>
      </c>
      <c r="AA58" s="479">
        <v>180306.806858667</v>
      </c>
      <c r="AB58" s="479">
        <f t="shared" ref="AB58:AB71" si="62">Z58-AA58</f>
        <v>90365.4406079996</v>
      </c>
      <c r="AC58" s="479"/>
      <c r="AD58" s="479"/>
      <c r="AE58" s="479"/>
    </row>
    <row r="59" ht="18" spans="1:31">
      <c r="A59" s="464">
        <v>48</v>
      </c>
      <c r="B59" s="11" t="s">
        <v>159</v>
      </c>
      <c r="C59" s="467">
        <v>700675.583333333</v>
      </c>
      <c r="D59" s="466">
        <v>12</v>
      </c>
      <c r="E59" s="467">
        <f t="shared" si="47"/>
        <v>8408107</v>
      </c>
      <c r="F59" s="467"/>
      <c r="G59" s="467">
        <v>595848.56</v>
      </c>
      <c r="H59" s="470"/>
      <c r="I59" s="467">
        <f t="shared" si="48"/>
        <v>7812258.44</v>
      </c>
      <c r="J59" s="467">
        <v>200000</v>
      </c>
      <c r="K59" s="467">
        <v>0.2</v>
      </c>
      <c r="L59" s="467">
        <f t="shared" si="49"/>
        <v>1562451.688</v>
      </c>
      <c r="M59" s="467">
        <f t="shared" si="50"/>
        <v>1762451.688</v>
      </c>
      <c r="N59" s="467">
        <f t="shared" si="51"/>
        <v>2358300.248</v>
      </c>
      <c r="O59" s="467">
        <f t="shared" si="52"/>
        <v>6049806.752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683953.620479999</v>
      </c>
      <c r="V59" s="467">
        <f t="shared" si="59"/>
        <v>1243953.62048</v>
      </c>
      <c r="W59" s="474">
        <v>12</v>
      </c>
      <c r="X59" s="467">
        <f t="shared" si="60"/>
        <v>103662.801706667</v>
      </c>
      <c r="Y59" s="470"/>
      <c r="Z59" s="467">
        <f t="shared" si="61"/>
        <v>103662.801706667</v>
      </c>
      <c r="AA59" s="479">
        <v>64596.9391466667</v>
      </c>
      <c r="AB59" s="479">
        <f t="shared" si="62"/>
        <v>39065.8625599999</v>
      </c>
      <c r="AC59" s="479"/>
      <c r="AD59" s="479"/>
      <c r="AE59" s="479"/>
    </row>
    <row r="60" ht="17.5" spans="1:31">
      <c r="A60" s="464"/>
      <c r="B60" s="20"/>
      <c r="C60" s="467"/>
      <c r="D60" s="466"/>
      <c r="E60" s="467"/>
      <c r="F60" s="467"/>
      <c r="G60" s="470">
        <v>0</v>
      </c>
      <c r="H60" s="470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70"/>
      <c r="Z60" s="467"/>
      <c r="AA60" s="479"/>
      <c r="AB60" s="479"/>
      <c r="AC60" s="479"/>
      <c r="AD60" s="479"/>
      <c r="AE60" s="479"/>
    </row>
    <row r="61" ht="35" spans="1:31">
      <c r="A61" s="464">
        <v>49</v>
      </c>
      <c r="B61" s="20" t="s">
        <v>162</v>
      </c>
      <c r="C61" s="467"/>
      <c r="D61" s="466"/>
      <c r="E61" s="467"/>
      <c r="F61" s="467"/>
      <c r="G61" s="470">
        <v>0</v>
      </c>
      <c r="H61" s="470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70"/>
      <c r="Z61" s="467"/>
      <c r="AA61" s="479"/>
      <c r="AB61" s="479"/>
      <c r="AC61" s="479"/>
      <c r="AD61" s="479"/>
      <c r="AE61" s="479"/>
    </row>
    <row r="62" ht="18" spans="1:31">
      <c r="A62" s="464">
        <v>50</v>
      </c>
      <c r="B62" s="11" t="s">
        <v>842</v>
      </c>
      <c r="C62" s="467">
        <v>1635720</v>
      </c>
      <c r="D62" s="466">
        <v>12</v>
      </c>
      <c r="E62" s="467">
        <f t="shared" si="47"/>
        <v>19628640</v>
      </c>
      <c r="F62" s="467"/>
      <c r="G62" s="468">
        <v>0</v>
      </c>
      <c r="H62" s="470"/>
      <c r="I62" s="467">
        <f t="shared" si="48"/>
        <v>19628640</v>
      </c>
      <c r="J62" s="467">
        <v>200000</v>
      </c>
      <c r="K62" s="467">
        <v>0.2</v>
      </c>
      <c r="L62" s="467">
        <f t="shared" si="49"/>
        <v>3925728</v>
      </c>
      <c r="M62" s="467">
        <f t="shared" si="50"/>
        <v>4125728</v>
      </c>
      <c r="N62" s="467">
        <f t="shared" si="51"/>
        <v>4125728</v>
      </c>
      <c r="O62" s="467">
        <f t="shared" si="52"/>
        <v>15502912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2952698.88</v>
      </c>
      <c r="V62" s="467">
        <f t="shared" si="59"/>
        <v>3512698.88</v>
      </c>
      <c r="W62" s="474">
        <v>12</v>
      </c>
      <c r="X62" s="467">
        <f t="shared" si="60"/>
        <v>292724.906666667</v>
      </c>
      <c r="Y62" s="470"/>
      <c r="Z62" s="467">
        <f t="shared" si="61"/>
        <v>292724.906666667</v>
      </c>
      <c r="AA62" s="479">
        <v>180306.806858667</v>
      </c>
      <c r="AB62" s="479">
        <f t="shared" si="62"/>
        <v>112418.099808</v>
      </c>
      <c r="AC62" s="479"/>
      <c r="AD62" s="479"/>
      <c r="AE62" s="479"/>
    </row>
    <row r="63" ht="23.25" customHeight="1" spans="1:31">
      <c r="A63" s="464">
        <v>51</v>
      </c>
      <c r="B63" s="351" t="s">
        <v>844</v>
      </c>
      <c r="C63" s="467">
        <v>761396.833333333</v>
      </c>
      <c r="D63" s="466">
        <v>12</v>
      </c>
      <c r="E63" s="467">
        <f t="shared" si="47"/>
        <v>9136762</v>
      </c>
      <c r="F63" s="467"/>
      <c r="G63" s="473">
        <f>48111.7466666667*12</f>
        <v>577340.96</v>
      </c>
      <c r="H63" s="470"/>
      <c r="I63" s="467">
        <f t="shared" si="48"/>
        <v>8559421.04</v>
      </c>
      <c r="J63" s="467">
        <v>200000</v>
      </c>
      <c r="K63" s="467">
        <v>0.2</v>
      </c>
      <c r="L63" s="467">
        <f t="shared" si="49"/>
        <v>1711884.208</v>
      </c>
      <c r="M63" s="467">
        <f t="shared" si="50"/>
        <v>1911884.208</v>
      </c>
      <c r="N63" s="467">
        <f t="shared" si="51"/>
        <v>2489225.168</v>
      </c>
      <c r="O63" s="467">
        <f t="shared" si="52"/>
        <v>6647536.832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827408.839679999</v>
      </c>
      <c r="V63" s="467">
        <f t="shared" si="59"/>
        <v>1387408.83968</v>
      </c>
      <c r="W63" s="474">
        <v>12</v>
      </c>
      <c r="X63" s="467">
        <f t="shared" si="60"/>
        <v>115617.403306667</v>
      </c>
      <c r="Y63" s="470"/>
      <c r="Z63" s="467">
        <f t="shared" si="61"/>
        <v>115617.403306667</v>
      </c>
      <c r="AA63" s="479">
        <v>77764.9802666667</v>
      </c>
      <c r="AB63" s="479">
        <f t="shared" si="62"/>
        <v>37852.4230399999</v>
      </c>
      <c r="AC63" s="479"/>
      <c r="AD63" s="479"/>
      <c r="AE63" s="479"/>
    </row>
    <row r="64" ht="18" spans="1:31">
      <c r="A64" s="464">
        <v>52</v>
      </c>
      <c r="B64" s="11" t="s">
        <v>165</v>
      </c>
      <c r="C64" s="467">
        <v>582746.5</v>
      </c>
      <c r="D64" s="466">
        <v>12</v>
      </c>
      <c r="E64" s="467">
        <f t="shared" si="47"/>
        <v>6992958</v>
      </c>
      <c r="F64" s="467"/>
      <c r="G64" s="468">
        <v>425036.64</v>
      </c>
      <c r="H64" s="470"/>
      <c r="I64" s="467">
        <f t="shared" si="48"/>
        <v>6567921.36</v>
      </c>
      <c r="J64" s="467">
        <v>200000</v>
      </c>
      <c r="K64" s="467">
        <v>0.2</v>
      </c>
      <c r="L64" s="467">
        <f t="shared" si="49"/>
        <v>1313584.272</v>
      </c>
      <c r="M64" s="467">
        <f t="shared" si="50"/>
        <v>1513584.272</v>
      </c>
      <c r="N64" s="467">
        <f t="shared" si="51"/>
        <v>1938620.912</v>
      </c>
      <c r="O64" s="467">
        <f t="shared" si="52"/>
        <v>5054337.088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445040.90112</v>
      </c>
      <c r="V64" s="467">
        <f t="shared" si="59"/>
        <v>1005040.90112</v>
      </c>
      <c r="W64" s="474">
        <v>12</v>
      </c>
      <c r="X64" s="467">
        <f t="shared" si="60"/>
        <v>83753.4084266666</v>
      </c>
      <c r="Y64" s="470"/>
      <c r="Z64" s="467">
        <f t="shared" si="61"/>
        <v>83753.4084266666</v>
      </c>
      <c r="AA64" s="479">
        <v>54931.2492266667</v>
      </c>
      <c r="AB64" s="479">
        <f t="shared" si="62"/>
        <v>28822.1591999999</v>
      </c>
      <c r="AC64" s="479"/>
      <c r="AD64" s="479"/>
      <c r="AE64" s="479"/>
    </row>
    <row r="65" ht="18" spans="1:31">
      <c r="A65" s="464">
        <v>53</v>
      </c>
      <c r="B65" s="18" t="s">
        <v>846</v>
      </c>
      <c r="C65" s="467">
        <v>548915.916666667</v>
      </c>
      <c r="D65" s="466">
        <v>12</v>
      </c>
      <c r="E65" s="467">
        <f t="shared" si="47"/>
        <v>6586991</v>
      </c>
      <c r="F65" s="467"/>
      <c r="G65" s="468">
        <v>411759.28</v>
      </c>
      <c r="H65" s="470"/>
      <c r="I65" s="467">
        <f t="shared" si="48"/>
        <v>6175231.72</v>
      </c>
      <c r="J65" s="467">
        <v>200000</v>
      </c>
      <c r="K65" s="467">
        <v>0.2</v>
      </c>
      <c r="L65" s="467">
        <f t="shared" si="49"/>
        <v>1235046.344</v>
      </c>
      <c r="M65" s="467">
        <f t="shared" si="50"/>
        <v>1435046.344</v>
      </c>
      <c r="N65" s="467">
        <f t="shared" si="51"/>
        <v>1846805.624</v>
      </c>
      <c r="O65" s="467">
        <f t="shared" si="52"/>
        <v>4740185.376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369644.490240001</v>
      </c>
      <c r="V65" s="467">
        <f t="shared" si="59"/>
        <v>929644.490240001</v>
      </c>
      <c r="W65" s="474">
        <v>12</v>
      </c>
      <c r="X65" s="467">
        <f t="shared" si="60"/>
        <v>77470.3741866667</v>
      </c>
      <c r="Y65" s="470"/>
      <c r="Z65" s="467">
        <f t="shared" si="61"/>
        <v>77470.3741866667</v>
      </c>
      <c r="AA65" s="479">
        <v>49548.7761866667</v>
      </c>
      <c r="AB65" s="479">
        <f t="shared" si="62"/>
        <v>27921.598</v>
      </c>
      <c r="AC65" s="479"/>
      <c r="AD65" s="479"/>
      <c r="AE65" s="479"/>
    </row>
    <row r="66" ht="18" spans="1:31">
      <c r="A66" s="464">
        <v>54</v>
      </c>
      <c r="B66" s="14" t="s">
        <v>847</v>
      </c>
      <c r="C66" s="467">
        <v>624373.75</v>
      </c>
      <c r="D66" s="466">
        <v>12</v>
      </c>
      <c r="E66" s="467">
        <f t="shared" si="47"/>
        <v>7492485</v>
      </c>
      <c r="F66" s="467"/>
      <c r="G66" s="468">
        <v>464998.8</v>
      </c>
      <c r="H66" s="470"/>
      <c r="I66" s="467">
        <f t="shared" si="48"/>
        <v>7027486.2</v>
      </c>
      <c r="J66" s="467">
        <v>200000</v>
      </c>
      <c r="K66" s="467">
        <v>0.2</v>
      </c>
      <c r="L66" s="467">
        <f t="shared" si="49"/>
        <v>1405497.24</v>
      </c>
      <c r="M66" s="467">
        <f t="shared" si="50"/>
        <v>1605497.24</v>
      </c>
      <c r="N66" s="467">
        <f t="shared" si="51"/>
        <v>2070496.04</v>
      </c>
      <c r="O66" s="467">
        <f t="shared" si="52"/>
        <v>5421988.96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533277.3504</v>
      </c>
      <c r="V66" s="467">
        <f t="shared" si="59"/>
        <v>1093277.3504</v>
      </c>
      <c r="W66" s="474">
        <v>12</v>
      </c>
      <c r="X66" s="467">
        <f t="shared" si="60"/>
        <v>91106.4458666667</v>
      </c>
      <c r="Y66" s="470"/>
      <c r="Z66" s="467">
        <f t="shared" si="61"/>
        <v>91106.4458666667</v>
      </c>
      <c r="AA66" s="479">
        <v>46666.6666666667</v>
      </c>
      <c r="AB66" s="479">
        <f t="shared" si="62"/>
        <v>44439.7792</v>
      </c>
      <c r="AC66" s="479"/>
      <c r="AD66" s="479"/>
      <c r="AE66" s="479"/>
    </row>
    <row r="67" ht="18" spans="1:31">
      <c r="A67" s="464">
        <v>55</v>
      </c>
      <c r="B67" s="11" t="s">
        <v>169</v>
      </c>
      <c r="C67" s="467">
        <v>475703.833333333</v>
      </c>
      <c r="D67" s="466">
        <v>12</v>
      </c>
      <c r="E67" s="467">
        <f t="shared" si="47"/>
        <v>5708446</v>
      </c>
      <c r="F67" s="467"/>
      <c r="G67" s="468">
        <v>351075.68</v>
      </c>
      <c r="H67" s="470"/>
      <c r="I67" s="467">
        <f t="shared" si="48"/>
        <v>5357370.32</v>
      </c>
      <c r="J67" s="467">
        <v>200000</v>
      </c>
      <c r="K67" s="467">
        <v>0.2</v>
      </c>
      <c r="L67" s="467">
        <f t="shared" si="49"/>
        <v>1071474.064</v>
      </c>
      <c r="M67" s="467">
        <f t="shared" si="50"/>
        <v>1271474.064</v>
      </c>
      <c r="N67" s="467">
        <f t="shared" si="51"/>
        <v>1622549.744</v>
      </c>
      <c r="O67" s="467">
        <f t="shared" si="52"/>
        <v>4085896.256</v>
      </c>
      <c r="P67" s="467">
        <f t="shared" si="53"/>
        <v>21000</v>
      </c>
      <c r="Q67" s="467">
        <f t="shared" si="54"/>
        <v>33000</v>
      </c>
      <c r="R67" s="467">
        <f t="shared" si="55"/>
        <v>75000</v>
      </c>
      <c r="S67" s="467">
        <f t="shared" si="56"/>
        <v>95000</v>
      </c>
      <c r="T67" s="467">
        <f t="shared" si="57"/>
        <v>336000</v>
      </c>
      <c r="U67" s="467">
        <f t="shared" si="58"/>
        <v>212615.101439999</v>
      </c>
      <c r="V67" s="467">
        <f t="shared" si="59"/>
        <v>772615.101439999</v>
      </c>
      <c r="W67" s="474">
        <v>12</v>
      </c>
      <c r="X67" s="467">
        <f t="shared" si="60"/>
        <v>64384.5917866666</v>
      </c>
      <c r="Y67" s="470"/>
      <c r="Z67" s="467">
        <f t="shared" si="61"/>
        <v>64384.5917866666</v>
      </c>
      <c r="AA67" s="479">
        <v>41338.9510986667</v>
      </c>
      <c r="AB67" s="479">
        <f t="shared" si="62"/>
        <v>23045.6406879999</v>
      </c>
      <c r="AC67" s="479"/>
      <c r="AD67" s="479"/>
      <c r="AE67" s="479"/>
    </row>
    <row r="68" ht="18" spans="1:31">
      <c r="A68" s="464">
        <v>56</v>
      </c>
      <c r="B68" s="11" t="s">
        <v>171</v>
      </c>
      <c r="C68" s="467">
        <v>475703.833333333</v>
      </c>
      <c r="D68" s="466">
        <v>12</v>
      </c>
      <c r="E68" s="467">
        <f t="shared" si="47"/>
        <v>5708446</v>
      </c>
      <c r="F68" s="467"/>
      <c r="G68" s="468">
        <v>351075.68</v>
      </c>
      <c r="H68" s="470"/>
      <c r="I68" s="467">
        <f t="shared" si="48"/>
        <v>5357370.32</v>
      </c>
      <c r="J68" s="467">
        <v>200000</v>
      </c>
      <c r="K68" s="467">
        <v>0.2</v>
      </c>
      <c r="L68" s="467">
        <f t="shared" si="49"/>
        <v>1071474.064</v>
      </c>
      <c r="M68" s="467">
        <f t="shared" si="50"/>
        <v>1271474.064</v>
      </c>
      <c r="N68" s="467">
        <f t="shared" si="51"/>
        <v>1622549.744</v>
      </c>
      <c r="O68" s="467">
        <f t="shared" si="52"/>
        <v>4085896.256</v>
      </c>
      <c r="P68" s="467">
        <f t="shared" si="53"/>
        <v>21000</v>
      </c>
      <c r="Q68" s="467">
        <f t="shared" si="54"/>
        <v>33000</v>
      </c>
      <c r="R68" s="467">
        <f t="shared" si="55"/>
        <v>75000</v>
      </c>
      <c r="S68" s="467">
        <f t="shared" si="56"/>
        <v>95000</v>
      </c>
      <c r="T68" s="467">
        <f t="shared" si="57"/>
        <v>336000</v>
      </c>
      <c r="U68" s="467">
        <f t="shared" si="58"/>
        <v>212615.101439999</v>
      </c>
      <c r="V68" s="467">
        <f t="shared" si="59"/>
        <v>772615.101439999</v>
      </c>
      <c r="W68" s="474">
        <v>12</v>
      </c>
      <c r="X68" s="467">
        <f t="shared" si="60"/>
        <v>64384.5917866666</v>
      </c>
      <c r="Y68" s="470"/>
      <c r="Z68" s="467">
        <f t="shared" si="61"/>
        <v>64384.5917866666</v>
      </c>
      <c r="AA68" s="479">
        <v>41338.9510986667</v>
      </c>
      <c r="AB68" s="479">
        <f t="shared" si="62"/>
        <v>23045.6406879999</v>
      </c>
      <c r="AC68" s="479"/>
      <c r="AD68" s="479"/>
      <c r="AE68" s="479"/>
    </row>
    <row r="69" ht="18" spans="1:31">
      <c r="A69" s="464">
        <v>57</v>
      </c>
      <c r="B69" s="11" t="s">
        <v>172</v>
      </c>
      <c r="C69" s="467">
        <v>475703.833333333</v>
      </c>
      <c r="D69" s="466">
        <v>12</v>
      </c>
      <c r="E69" s="467">
        <f t="shared" si="47"/>
        <v>5708446</v>
      </c>
      <c r="F69" s="467"/>
      <c r="G69" s="468">
        <v>351075.68</v>
      </c>
      <c r="H69" s="470"/>
      <c r="I69" s="467">
        <f t="shared" si="48"/>
        <v>5357370.32</v>
      </c>
      <c r="J69" s="467">
        <v>200000</v>
      </c>
      <c r="K69" s="467">
        <v>0.2</v>
      </c>
      <c r="L69" s="467">
        <f t="shared" si="49"/>
        <v>1071474.064</v>
      </c>
      <c r="M69" s="467">
        <f t="shared" si="50"/>
        <v>1271474.064</v>
      </c>
      <c r="N69" s="467">
        <f t="shared" si="51"/>
        <v>1622549.744</v>
      </c>
      <c r="O69" s="467">
        <f t="shared" si="52"/>
        <v>4085896.256</v>
      </c>
      <c r="P69" s="467">
        <f t="shared" si="53"/>
        <v>21000</v>
      </c>
      <c r="Q69" s="467">
        <f t="shared" si="54"/>
        <v>33000</v>
      </c>
      <c r="R69" s="467">
        <f t="shared" si="55"/>
        <v>75000</v>
      </c>
      <c r="S69" s="467">
        <f t="shared" si="56"/>
        <v>95000</v>
      </c>
      <c r="T69" s="467">
        <f t="shared" si="57"/>
        <v>336000</v>
      </c>
      <c r="U69" s="467">
        <f t="shared" si="58"/>
        <v>212615.101439999</v>
      </c>
      <c r="V69" s="467">
        <f t="shared" si="59"/>
        <v>772615.101439999</v>
      </c>
      <c r="W69" s="474">
        <v>12</v>
      </c>
      <c r="X69" s="467">
        <f t="shared" si="60"/>
        <v>64384.5917866666</v>
      </c>
      <c r="Y69" s="470"/>
      <c r="Z69" s="467">
        <f t="shared" si="61"/>
        <v>64384.5917866666</v>
      </c>
      <c r="AA69" s="479">
        <v>41338.9510986667</v>
      </c>
      <c r="AB69" s="479">
        <f t="shared" si="62"/>
        <v>23045.6406879999</v>
      </c>
      <c r="AC69" s="479"/>
      <c r="AD69" s="479"/>
      <c r="AE69" s="479"/>
    </row>
    <row r="70" ht="18" spans="1:31">
      <c r="A70" s="464">
        <v>58</v>
      </c>
      <c r="B70" s="11" t="s">
        <v>173</v>
      </c>
      <c r="C70" s="467">
        <v>487895.166666667</v>
      </c>
      <c r="D70" s="466">
        <v>12</v>
      </c>
      <c r="E70" s="467">
        <f t="shared" si="47"/>
        <v>5854742</v>
      </c>
      <c r="F70" s="467"/>
      <c r="G70" s="468">
        <v>362779.36</v>
      </c>
      <c r="H70" s="470"/>
      <c r="I70" s="467">
        <f t="shared" si="48"/>
        <v>5491962.64</v>
      </c>
      <c r="J70" s="467">
        <v>200000</v>
      </c>
      <c r="K70" s="467">
        <v>0.2</v>
      </c>
      <c r="L70" s="467">
        <f t="shared" si="49"/>
        <v>1098392.528</v>
      </c>
      <c r="M70" s="467">
        <f t="shared" si="50"/>
        <v>1298392.528</v>
      </c>
      <c r="N70" s="467">
        <f t="shared" si="51"/>
        <v>1661171.888</v>
      </c>
      <c r="O70" s="467">
        <f t="shared" si="52"/>
        <v>4193570.112</v>
      </c>
      <c r="P70" s="467">
        <f t="shared" si="53"/>
        <v>21000</v>
      </c>
      <c r="Q70" s="467">
        <f t="shared" si="54"/>
        <v>33000</v>
      </c>
      <c r="R70" s="467">
        <f t="shared" si="55"/>
        <v>75000</v>
      </c>
      <c r="S70" s="467">
        <f t="shared" si="56"/>
        <v>95000</v>
      </c>
      <c r="T70" s="467">
        <f t="shared" si="57"/>
        <v>336000</v>
      </c>
      <c r="U70" s="467">
        <f t="shared" si="58"/>
        <v>238456.826880001</v>
      </c>
      <c r="V70" s="467">
        <f t="shared" si="59"/>
        <v>798456.826880001</v>
      </c>
      <c r="W70" s="474">
        <v>12</v>
      </c>
      <c r="X70" s="467">
        <f t="shared" si="60"/>
        <v>66538.0689066667</v>
      </c>
      <c r="Y70" s="470"/>
      <c r="Z70" s="467">
        <f t="shared" si="61"/>
        <v>66538.0689066667</v>
      </c>
      <c r="AA70" s="479">
        <v>43368.8824146667</v>
      </c>
      <c r="AB70" s="479">
        <f t="shared" si="62"/>
        <v>23169.186492</v>
      </c>
      <c r="AC70" s="479"/>
      <c r="AD70" s="479"/>
      <c r="AE70" s="479"/>
    </row>
    <row r="71" ht="18" spans="1:31">
      <c r="A71" s="464">
        <v>59</v>
      </c>
      <c r="B71" s="11" t="s">
        <v>177</v>
      </c>
      <c r="C71" s="467">
        <v>400965.583333333</v>
      </c>
      <c r="D71" s="466">
        <v>12</v>
      </c>
      <c r="E71" s="467">
        <f t="shared" si="47"/>
        <v>4811587</v>
      </c>
      <c r="F71" s="467"/>
      <c r="G71" s="472">
        <v>288926.96</v>
      </c>
      <c r="H71" s="470"/>
      <c r="I71" s="467">
        <f t="shared" si="48"/>
        <v>4522660.04</v>
      </c>
      <c r="J71" s="467">
        <v>200000</v>
      </c>
      <c r="K71" s="467">
        <v>0.2</v>
      </c>
      <c r="L71" s="467">
        <f t="shared" si="49"/>
        <v>904532.007999999</v>
      </c>
      <c r="M71" s="467">
        <f t="shared" si="50"/>
        <v>1104532.008</v>
      </c>
      <c r="N71" s="467">
        <f t="shared" si="51"/>
        <v>1393458.968</v>
      </c>
      <c r="O71" s="467">
        <f t="shared" si="52"/>
        <v>3418128.032</v>
      </c>
      <c r="P71" s="467">
        <f t="shared" si="53"/>
        <v>21000</v>
      </c>
      <c r="Q71" s="467">
        <f t="shared" si="54"/>
        <v>33000</v>
      </c>
      <c r="R71" s="467">
        <f t="shared" si="55"/>
        <v>75000</v>
      </c>
      <c r="S71" s="467">
        <f t="shared" si="56"/>
        <v>95000</v>
      </c>
      <c r="T71" s="467">
        <f t="shared" si="57"/>
        <v>336000</v>
      </c>
      <c r="U71" s="467">
        <f t="shared" si="58"/>
        <v>52350.7276799992</v>
      </c>
      <c r="V71" s="467">
        <f t="shared" si="59"/>
        <v>612350.727679999</v>
      </c>
      <c r="W71" s="474">
        <v>12</v>
      </c>
      <c r="X71" s="467">
        <f t="shared" si="60"/>
        <v>51029.2273066666</v>
      </c>
      <c r="Y71" s="470"/>
      <c r="Z71" s="467">
        <f t="shared" si="61"/>
        <v>51029.2273066666</v>
      </c>
      <c r="AA71" s="479">
        <v>33825.9865626667</v>
      </c>
      <c r="AB71" s="479">
        <f t="shared" si="62"/>
        <v>17203.2407439999</v>
      </c>
      <c r="AC71" s="479"/>
      <c r="AD71" s="479"/>
      <c r="AE71" s="479"/>
    </row>
    <row r="72" ht="17.5" spans="1:31">
      <c r="A72" s="464">
        <v>60</v>
      </c>
      <c r="B72" s="20"/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7.5" spans="1:31">
      <c r="A73" s="464">
        <v>61</v>
      </c>
      <c r="B73" s="22"/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7.5" spans="1:31">
      <c r="A74" s="464"/>
      <c r="B74" s="20" t="s">
        <v>180</v>
      </c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181</v>
      </c>
      <c r="C75" s="467">
        <v>1635720</v>
      </c>
      <c r="D75" s="466">
        <v>12</v>
      </c>
      <c r="E75" s="467">
        <f t="shared" ref="E75:E81" si="63">C75*D75</f>
        <v>19628640</v>
      </c>
      <c r="F75" s="467"/>
      <c r="G75" s="468">
        <v>1378291.2</v>
      </c>
      <c r="H75" s="470"/>
      <c r="I75" s="467">
        <f t="shared" ref="I75:I81" si="64">E75-F75-G75-H75</f>
        <v>18250348.8</v>
      </c>
      <c r="J75" s="467">
        <v>200000</v>
      </c>
      <c r="K75" s="467">
        <v>0.2</v>
      </c>
      <c r="L75" s="467">
        <f t="shared" ref="L75:L81" si="65">I75*K75</f>
        <v>3650069.76</v>
      </c>
      <c r="M75" s="467">
        <f t="shared" ref="M75:M81" si="66">J75+L75</f>
        <v>3850069.76</v>
      </c>
      <c r="N75" s="467">
        <f t="shared" ref="N75:N81" si="67">F75+G75+H75+M75</f>
        <v>5228360.96</v>
      </c>
      <c r="O75" s="467">
        <f t="shared" ref="O75:O81" si="68">E75-N75</f>
        <v>14400279.04</v>
      </c>
      <c r="P75" s="467">
        <f t="shared" ref="P75:P81" si="69">IF(O75&lt;300000,0.07*O75,21000)</f>
        <v>21000</v>
      </c>
      <c r="Q75" s="467">
        <f t="shared" ref="Q75:Q81" si="70">IF((O75-300000)&lt;0,0,IF((O75-300000)&lt;300000,0.11*(O75-300000),33000))</f>
        <v>33000</v>
      </c>
      <c r="R75" s="467">
        <f t="shared" ref="R75:R81" si="71">IF((O75-600000)&lt;0,0,IF((O75-600000)&lt;500000,0.15*(O75-600000),75000))</f>
        <v>75000</v>
      </c>
      <c r="S75" s="467">
        <f t="shared" ref="S75:S81" si="72">IF((O75-1100000)&lt;0,0,IF((O75-1100000)&lt;500000,0.19*(O75-1100000),95000))</f>
        <v>95000</v>
      </c>
      <c r="T75" s="467">
        <f t="shared" ref="T75:T81" si="73">IF((O75-1600000)&lt;0,0,IF((O75-1600000)&lt;1600000,0.21*(O75-1600000),336000))</f>
        <v>336000</v>
      </c>
      <c r="U75" s="467">
        <f t="shared" ref="U75:U78" si="74">24%*(O75-3200000)</f>
        <v>2688066.9696</v>
      </c>
      <c r="V75" s="467">
        <f t="shared" ref="V75:V81" si="75">P75+Q75+R75+S75+T75+U75</f>
        <v>3248066.9696</v>
      </c>
      <c r="W75" s="474">
        <v>12</v>
      </c>
      <c r="X75" s="467">
        <f t="shared" ref="X75:X81" si="76">V75/W75</f>
        <v>270672.247466667</v>
      </c>
      <c r="Y75" s="470"/>
      <c r="Z75" s="467">
        <f t="shared" ref="Z75:Z81" si="77">X75</f>
        <v>270672.247466667</v>
      </c>
      <c r="AA75" s="479">
        <v>180306.806858667</v>
      </c>
      <c r="AB75" s="479">
        <f t="shared" ref="AB75:AB81" si="78">Z75-AA75</f>
        <v>90365.4406079996</v>
      </c>
      <c r="AC75" s="479"/>
      <c r="AD75" s="479"/>
      <c r="AE75" s="479"/>
    </row>
    <row r="76" ht="18" spans="1:31">
      <c r="A76" s="464">
        <v>62</v>
      </c>
      <c r="B76" s="14" t="s">
        <v>848</v>
      </c>
      <c r="C76" s="467">
        <v>761396.833333333</v>
      </c>
      <c r="D76" s="466">
        <v>12</v>
      </c>
      <c r="E76" s="467">
        <f t="shared" si="63"/>
        <v>9136762</v>
      </c>
      <c r="F76" s="467"/>
      <c r="G76" s="468">
        <v>0</v>
      </c>
      <c r="H76" s="470"/>
      <c r="I76" s="467">
        <f t="shared" si="64"/>
        <v>9136762</v>
      </c>
      <c r="J76" s="467">
        <v>200000</v>
      </c>
      <c r="K76" s="467">
        <v>0.2</v>
      </c>
      <c r="L76" s="467">
        <f t="shared" si="65"/>
        <v>1827352.4</v>
      </c>
      <c r="M76" s="467">
        <f t="shared" si="66"/>
        <v>2027352.4</v>
      </c>
      <c r="N76" s="467">
        <f t="shared" si="67"/>
        <v>2027352.4</v>
      </c>
      <c r="O76" s="467">
        <f t="shared" si="68"/>
        <v>7109409.6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336000</v>
      </c>
      <c r="U76" s="467">
        <f t="shared" si="74"/>
        <v>938258.303999999</v>
      </c>
      <c r="V76" s="467">
        <f t="shared" si="75"/>
        <v>1498258.304</v>
      </c>
      <c r="W76" s="474">
        <v>12</v>
      </c>
      <c r="X76" s="467">
        <f t="shared" si="76"/>
        <v>124854.858666667</v>
      </c>
      <c r="Y76" s="470"/>
      <c r="Z76" s="467">
        <f t="shared" si="77"/>
        <v>124854.858666667</v>
      </c>
      <c r="AA76" s="479">
        <v>77764.9802666667</v>
      </c>
      <c r="AB76" s="479">
        <f t="shared" si="78"/>
        <v>47089.8783999999</v>
      </c>
      <c r="AC76" s="479"/>
      <c r="AD76" s="479"/>
      <c r="AE76" s="479"/>
    </row>
    <row r="77" ht="36" spans="1:31">
      <c r="A77" s="464">
        <v>63</v>
      </c>
      <c r="B77" s="18" t="s">
        <v>183</v>
      </c>
      <c r="C77" s="467">
        <f>700675.583333333+80000</f>
        <v>780675.583333333</v>
      </c>
      <c r="D77" s="466">
        <v>12</v>
      </c>
      <c r="E77" s="467">
        <f t="shared" si="63"/>
        <v>9368107</v>
      </c>
      <c r="F77" s="467"/>
      <c r="G77" s="468">
        <v>0</v>
      </c>
      <c r="H77" s="470"/>
      <c r="I77" s="467">
        <f t="shared" si="64"/>
        <v>9368107</v>
      </c>
      <c r="J77" s="467">
        <v>200000</v>
      </c>
      <c r="K77" s="467">
        <v>0.2</v>
      </c>
      <c r="L77" s="467">
        <f t="shared" si="65"/>
        <v>1873621.4</v>
      </c>
      <c r="M77" s="467">
        <f t="shared" si="66"/>
        <v>2073621.4</v>
      </c>
      <c r="N77" s="467">
        <f t="shared" si="67"/>
        <v>2073621.4</v>
      </c>
      <c r="O77" s="467">
        <f t="shared" si="68"/>
        <v>7294485.6</v>
      </c>
      <c r="P77" s="467">
        <f t="shared" si="69"/>
        <v>21000</v>
      </c>
      <c r="Q77" s="467">
        <f t="shared" si="70"/>
        <v>33000</v>
      </c>
      <c r="R77" s="467">
        <f t="shared" si="71"/>
        <v>75000</v>
      </c>
      <c r="S77" s="467">
        <f t="shared" si="72"/>
        <v>95000</v>
      </c>
      <c r="T77" s="467">
        <f t="shared" si="73"/>
        <v>336000</v>
      </c>
      <c r="U77" s="467">
        <f t="shared" si="74"/>
        <v>982676.543999999</v>
      </c>
      <c r="V77" s="467">
        <f t="shared" si="75"/>
        <v>1542676.544</v>
      </c>
      <c r="W77" s="474">
        <v>12</v>
      </c>
      <c r="X77" s="467">
        <f t="shared" si="76"/>
        <v>128556.378666667</v>
      </c>
      <c r="Y77" s="470"/>
      <c r="Z77" s="467">
        <f t="shared" si="77"/>
        <v>128556.378666667</v>
      </c>
      <c r="AA77" s="479">
        <v>64596.9391466667</v>
      </c>
      <c r="AB77" s="479">
        <f t="shared" si="78"/>
        <v>63959.4395199999</v>
      </c>
      <c r="AC77" s="479"/>
      <c r="AD77" s="479"/>
      <c r="AE77" s="479"/>
    </row>
    <row r="78" ht="18" spans="1:31">
      <c r="A78" s="464">
        <v>64</v>
      </c>
      <c r="B78" s="11" t="s">
        <v>187</v>
      </c>
      <c r="C78" s="467">
        <v>596622.25</v>
      </c>
      <c r="D78" s="466">
        <v>12</v>
      </c>
      <c r="E78" s="467">
        <f t="shared" si="63"/>
        <v>7159467</v>
      </c>
      <c r="F78" s="467">
        <f>'[6]JANUARY 2024'!$V$78*12</f>
        <v>8019.795</v>
      </c>
      <c r="G78" s="468">
        <v>438357.36</v>
      </c>
      <c r="H78" s="470"/>
      <c r="I78" s="467">
        <f t="shared" si="64"/>
        <v>6713089.845</v>
      </c>
      <c r="J78" s="467">
        <v>200000</v>
      </c>
      <c r="K78" s="467">
        <v>0.2</v>
      </c>
      <c r="L78" s="467">
        <f t="shared" si="65"/>
        <v>1342617.969</v>
      </c>
      <c r="M78" s="467">
        <f t="shared" si="66"/>
        <v>1542617.969</v>
      </c>
      <c r="N78" s="467">
        <f t="shared" si="67"/>
        <v>1988995.124</v>
      </c>
      <c r="O78" s="467">
        <f t="shared" si="68"/>
        <v>5170471.876</v>
      </c>
      <c r="P78" s="467">
        <f t="shared" si="69"/>
        <v>21000</v>
      </c>
      <c r="Q78" s="467">
        <f t="shared" si="70"/>
        <v>33000</v>
      </c>
      <c r="R78" s="467">
        <f t="shared" si="71"/>
        <v>75000</v>
      </c>
      <c r="S78" s="467">
        <f t="shared" si="72"/>
        <v>95000</v>
      </c>
      <c r="T78" s="467">
        <f t="shared" si="73"/>
        <v>336000</v>
      </c>
      <c r="U78" s="467">
        <f t="shared" si="74"/>
        <v>472913.25024</v>
      </c>
      <c r="V78" s="467">
        <f t="shared" si="75"/>
        <v>1032913.25024</v>
      </c>
      <c r="W78" s="474">
        <v>12</v>
      </c>
      <c r="X78" s="467">
        <f t="shared" si="76"/>
        <v>86076.1041866667</v>
      </c>
      <c r="Y78" s="470"/>
      <c r="Z78" s="467">
        <f t="shared" si="77"/>
        <v>86076.1041866667</v>
      </c>
      <c r="AA78" s="479">
        <v>56350.5861866667</v>
      </c>
      <c r="AB78" s="479">
        <f t="shared" si="78"/>
        <v>29725.518</v>
      </c>
      <c r="AC78" s="479"/>
      <c r="AD78" s="479"/>
      <c r="AE78" s="479"/>
    </row>
    <row r="79" ht="18" spans="1:31">
      <c r="A79" s="464">
        <v>65</v>
      </c>
      <c r="B79" s="11" t="s">
        <v>194</v>
      </c>
      <c r="C79" s="467">
        <v>408901.5</v>
      </c>
      <c r="D79" s="466">
        <v>12</v>
      </c>
      <c r="E79" s="467">
        <f t="shared" si="63"/>
        <v>4906818</v>
      </c>
      <c r="F79" s="467"/>
      <c r="G79" s="468">
        <v>296545.44</v>
      </c>
      <c r="H79" s="470"/>
      <c r="I79" s="467">
        <f t="shared" si="64"/>
        <v>4610272.56</v>
      </c>
      <c r="J79" s="467">
        <v>200000</v>
      </c>
      <c r="K79" s="467">
        <v>0.2</v>
      </c>
      <c r="L79" s="467">
        <f t="shared" si="65"/>
        <v>922054.512</v>
      </c>
      <c r="M79" s="467">
        <f t="shared" si="66"/>
        <v>1122054.512</v>
      </c>
      <c r="N79" s="467">
        <f t="shared" si="67"/>
        <v>1418599.952</v>
      </c>
      <c r="O79" s="467">
        <f t="shared" si="68"/>
        <v>3488218.048</v>
      </c>
      <c r="P79" s="467">
        <f t="shared" si="69"/>
        <v>21000</v>
      </c>
      <c r="Q79" s="467">
        <f t="shared" si="70"/>
        <v>33000</v>
      </c>
      <c r="R79" s="467">
        <f t="shared" si="71"/>
        <v>75000</v>
      </c>
      <c r="S79" s="467">
        <f t="shared" si="72"/>
        <v>95000</v>
      </c>
      <c r="T79" s="467">
        <f t="shared" si="73"/>
        <v>336000</v>
      </c>
      <c r="U79" s="467">
        <f>0.24*(O79-3200000)</f>
        <v>69172.33152</v>
      </c>
      <c r="V79" s="467">
        <f t="shared" si="75"/>
        <v>629172.33152</v>
      </c>
      <c r="W79" s="474">
        <v>12</v>
      </c>
      <c r="X79" s="467">
        <f t="shared" si="76"/>
        <v>52431.0276266667</v>
      </c>
      <c r="Y79" s="470"/>
      <c r="Z79" s="467">
        <f t="shared" si="77"/>
        <v>52431.0276266667</v>
      </c>
      <c r="AA79" s="479">
        <v>17507.5489666667</v>
      </c>
      <c r="AB79" s="479">
        <f t="shared" si="78"/>
        <v>34923.47866</v>
      </c>
      <c r="AC79" s="479"/>
      <c r="AD79" s="479"/>
      <c r="AE79" s="479"/>
    </row>
    <row r="80" ht="24.75" customHeight="1" spans="1:31">
      <c r="A80" s="464"/>
      <c r="B80" s="11" t="s">
        <v>198</v>
      </c>
      <c r="C80" s="467">
        <v>363165.333333333</v>
      </c>
      <c r="D80" s="466">
        <v>12</v>
      </c>
      <c r="E80" s="467">
        <f t="shared" si="63"/>
        <v>4357984</v>
      </c>
      <c r="F80" s="467"/>
      <c r="G80" s="468">
        <v>252638.72</v>
      </c>
      <c r="H80" s="470"/>
      <c r="I80" s="467">
        <f t="shared" si="64"/>
        <v>4105345.28</v>
      </c>
      <c r="J80" s="467">
        <v>200000</v>
      </c>
      <c r="K80" s="467">
        <v>0.2</v>
      </c>
      <c r="L80" s="467">
        <f t="shared" si="65"/>
        <v>821069.055999999</v>
      </c>
      <c r="M80" s="467">
        <f t="shared" si="66"/>
        <v>1021069.056</v>
      </c>
      <c r="N80" s="467">
        <f t="shared" si="67"/>
        <v>1273707.776</v>
      </c>
      <c r="O80" s="467">
        <f t="shared" si="68"/>
        <v>3084276.224</v>
      </c>
      <c r="P80" s="467">
        <f t="shared" si="69"/>
        <v>21000</v>
      </c>
      <c r="Q80" s="467">
        <f t="shared" si="70"/>
        <v>33000</v>
      </c>
      <c r="R80" s="467">
        <f t="shared" si="71"/>
        <v>75000</v>
      </c>
      <c r="S80" s="467">
        <f t="shared" si="72"/>
        <v>95000</v>
      </c>
      <c r="T80" s="467">
        <f t="shared" si="73"/>
        <v>311698.007039999</v>
      </c>
      <c r="U80" s="467"/>
      <c r="V80" s="467">
        <f t="shared" si="75"/>
        <v>535698.007039999</v>
      </c>
      <c r="W80" s="474">
        <v>12</v>
      </c>
      <c r="X80" s="467">
        <f t="shared" si="76"/>
        <v>44641.5005866666</v>
      </c>
      <c r="Y80" s="470"/>
      <c r="Z80" s="467">
        <f t="shared" si="77"/>
        <v>44641.5005866666</v>
      </c>
      <c r="AA80" s="479">
        <v>29058.4826046667</v>
      </c>
      <c r="AB80" s="479">
        <f t="shared" si="78"/>
        <v>15583.0179819999</v>
      </c>
      <c r="AC80" s="479"/>
      <c r="AD80" s="479"/>
      <c r="AE80" s="479"/>
    </row>
    <row r="81" ht="18" spans="1:31">
      <c r="A81" s="464"/>
      <c r="B81" s="11" t="s">
        <v>200</v>
      </c>
      <c r="C81" s="467">
        <v>324459.75</v>
      </c>
      <c r="D81" s="466">
        <v>12</v>
      </c>
      <c r="E81" s="467">
        <f t="shared" si="63"/>
        <v>3893517</v>
      </c>
      <c r="F81" s="467"/>
      <c r="G81" s="468">
        <v>215481.36</v>
      </c>
      <c r="H81" s="470"/>
      <c r="I81" s="467">
        <f t="shared" si="64"/>
        <v>3678035.64</v>
      </c>
      <c r="J81" s="467">
        <v>200000</v>
      </c>
      <c r="K81" s="467">
        <v>0.2</v>
      </c>
      <c r="L81" s="467">
        <f t="shared" si="65"/>
        <v>735607.128</v>
      </c>
      <c r="M81" s="467">
        <f t="shared" si="66"/>
        <v>935607.128</v>
      </c>
      <c r="N81" s="467">
        <f t="shared" si="67"/>
        <v>1151088.488</v>
      </c>
      <c r="O81" s="467">
        <f t="shared" si="68"/>
        <v>2742428.512</v>
      </c>
      <c r="P81" s="467">
        <f t="shared" si="69"/>
        <v>21000</v>
      </c>
      <c r="Q81" s="467">
        <f t="shared" si="70"/>
        <v>33000</v>
      </c>
      <c r="R81" s="467">
        <f t="shared" si="71"/>
        <v>75000</v>
      </c>
      <c r="S81" s="467">
        <f t="shared" si="72"/>
        <v>95000</v>
      </c>
      <c r="T81" s="467">
        <f t="shared" si="73"/>
        <v>239909.98752</v>
      </c>
      <c r="U81" s="467"/>
      <c r="V81" s="467">
        <f t="shared" si="75"/>
        <v>463909.98752</v>
      </c>
      <c r="W81" s="474">
        <v>12</v>
      </c>
      <c r="X81" s="467">
        <f t="shared" si="76"/>
        <v>38659.1656266667</v>
      </c>
      <c r="Y81" s="470"/>
      <c r="Z81" s="467">
        <f t="shared" si="77"/>
        <v>38659.1656266667</v>
      </c>
      <c r="AA81" s="479">
        <v>24751.1704626667</v>
      </c>
      <c r="AB81" s="479">
        <f t="shared" si="78"/>
        <v>13907.995164</v>
      </c>
      <c r="AC81" s="479"/>
      <c r="AD81" s="479"/>
      <c r="AE81" s="479"/>
    </row>
    <row r="82" ht="17.5" spans="1:31">
      <c r="A82" s="464"/>
      <c r="B82" s="20" t="s">
        <v>120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7.5" spans="1:31">
      <c r="A83" s="464">
        <v>66</v>
      </c>
      <c r="B83" s="20"/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5" spans="1:31">
      <c r="A84" s="464">
        <v>67</v>
      </c>
      <c r="B84" s="20" t="s">
        <v>202</v>
      </c>
      <c r="C84" s="467"/>
      <c r="AB84" s="296" t="s">
        <v>937</v>
      </c>
      <c r="AC84" s="479"/>
      <c r="AD84" s="479"/>
      <c r="AE84" s="479"/>
    </row>
    <row r="85" ht="18" spans="1:31">
      <c r="A85" s="464">
        <v>68</v>
      </c>
      <c r="B85" s="11" t="s">
        <v>205</v>
      </c>
      <c r="C85" s="467">
        <f>880675.583333333+100000</f>
        <v>980675.583333333</v>
      </c>
      <c r="D85" s="466">
        <v>12</v>
      </c>
      <c r="E85" s="467">
        <f t="shared" ref="E85:E94" si="79">C85*D85</f>
        <v>11768107</v>
      </c>
      <c r="F85" s="467"/>
      <c r="G85" s="468">
        <v>595848.56</v>
      </c>
      <c r="H85" s="470"/>
      <c r="I85" s="467">
        <f t="shared" ref="I85:I94" si="80">E85-F85-G85-H85</f>
        <v>11172258.44</v>
      </c>
      <c r="J85" s="467">
        <v>200000</v>
      </c>
      <c r="K85" s="467">
        <v>0.2</v>
      </c>
      <c r="L85" s="467">
        <f t="shared" ref="L85:L94" si="81">I85*K85</f>
        <v>2234451.688</v>
      </c>
      <c r="M85" s="467">
        <f t="shared" ref="M85:M94" si="82">J85+L85</f>
        <v>2434451.688</v>
      </c>
      <c r="N85" s="467">
        <f t="shared" ref="N85:N94" si="83">F85+G85+H85+M85</f>
        <v>3030300.248</v>
      </c>
      <c r="O85" s="467">
        <f t="shared" ref="O85:O94" si="84">E85-N85</f>
        <v>8737806.752</v>
      </c>
      <c r="P85" s="467">
        <f t="shared" ref="P85:P94" si="85">IF(O85&lt;300000,0.07*O85,21000)</f>
        <v>21000</v>
      </c>
      <c r="Q85" s="467">
        <f t="shared" ref="Q85:Q94" si="86">IF((O85-300000)&lt;0,0,IF((O85-300000)&lt;300000,0.11*(O85-300000),33000))</f>
        <v>33000</v>
      </c>
      <c r="R85" s="467">
        <f t="shared" ref="R85:R94" si="87">IF((O85-600000)&lt;0,0,IF((O85-600000)&lt;500000,0.15*(O85-600000),75000))</f>
        <v>75000</v>
      </c>
      <c r="S85" s="467">
        <f t="shared" ref="S85:S94" si="88">IF((O85-1100000)&lt;0,0,IF((O85-1100000)&lt;500000,0.19*(O85-1100000),95000))</f>
        <v>95000</v>
      </c>
      <c r="T85" s="467">
        <f t="shared" ref="T85:T94" si="89">IF((O85-1600000)&lt;0,0,IF((O85-1600000)&lt;1600000,0.21*(O85-1600000),336000))</f>
        <v>336000</v>
      </c>
      <c r="U85" s="467">
        <f t="shared" ref="U85:U93" si="90">24%*(O85-3200000)</f>
        <v>1329073.62048</v>
      </c>
      <c r="V85" s="467">
        <f t="shared" ref="V85:V94" si="91">P85+Q85+R85+S85+T85+U85</f>
        <v>1889073.62048</v>
      </c>
      <c r="W85" s="474">
        <v>12</v>
      </c>
      <c r="X85" s="467">
        <f t="shared" ref="X85:X94" si="92">V85/W85</f>
        <v>157422.801706667</v>
      </c>
      <c r="Y85" s="470"/>
      <c r="Z85" s="467">
        <f t="shared" ref="Z85:Z94" si="93">X85</f>
        <v>157422.801706667</v>
      </c>
      <c r="AA85" s="467">
        <v>99156.9391466667</v>
      </c>
      <c r="AB85" s="479">
        <f t="shared" ref="AB85:AB94" si="94">Z85-AA85</f>
        <v>58265.8625599999</v>
      </c>
      <c r="AC85" s="479" t="s">
        <v>205</v>
      </c>
      <c r="AD85" s="479"/>
      <c r="AE85" s="479"/>
    </row>
    <row r="86" ht="18" spans="1:31">
      <c r="A86" s="464">
        <v>69</v>
      </c>
      <c r="B86" s="11" t="s">
        <v>203</v>
      </c>
      <c r="C86" s="467">
        <v>780675.583333333</v>
      </c>
      <c r="D86" s="466">
        <v>12</v>
      </c>
      <c r="E86" s="467">
        <f t="shared" si="79"/>
        <v>9368107</v>
      </c>
      <c r="F86" s="467">
        <f>'[6]JANUARY 2024'!$V$86*12</f>
        <v>10052.25</v>
      </c>
      <c r="G86" s="468">
        <v>595848.56</v>
      </c>
      <c r="H86" s="470"/>
      <c r="I86" s="467">
        <f t="shared" si="80"/>
        <v>8762206.19</v>
      </c>
      <c r="J86" s="467">
        <v>200000</v>
      </c>
      <c r="K86" s="467">
        <v>0.2</v>
      </c>
      <c r="L86" s="467">
        <f t="shared" si="81"/>
        <v>1752441.238</v>
      </c>
      <c r="M86" s="467">
        <f t="shared" si="82"/>
        <v>1952441.238</v>
      </c>
      <c r="N86" s="467">
        <f t="shared" si="83"/>
        <v>2558342.048</v>
      </c>
      <c r="O86" s="467">
        <f t="shared" si="84"/>
        <v>6809764.952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866343.588479999</v>
      </c>
      <c r="V86" s="467">
        <f t="shared" si="91"/>
        <v>1426343.58848</v>
      </c>
      <c r="W86" s="474">
        <v>12</v>
      </c>
      <c r="X86" s="467">
        <f t="shared" si="92"/>
        <v>118861.965706667</v>
      </c>
      <c r="Y86" s="470"/>
      <c r="Z86" s="467">
        <f t="shared" si="93"/>
        <v>118861.965706667</v>
      </c>
      <c r="AA86" s="467">
        <v>98996.1031466667</v>
      </c>
      <c r="AB86" s="479">
        <f t="shared" si="94"/>
        <v>19865.8625599999</v>
      </c>
      <c r="AC86" s="479" t="s">
        <v>203</v>
      </c>
      <c r="AD86" s="479"/>
      <c r="AE86" s="479"/>
    </row>
    <row r="87" ht="36" spans="1:31">
      <c r="A87" s="464">
        <v>70</v>
      </c>
      <c r="B87" s="11" t="s">
        <v>208</v>
      </c>
      <c r="C87" s="467">
        <v>587895.166666667</v>
      </c>
      <c r="D87" s="466">
        <v>12</v>
      </c>
      <c r="E87" s="467">
        <f t="shared" si="79"/>
        <v>7054742</v>
      </c>
      <c r="F87" s="467"/>
      <c r="G87" s="468">
        <v>558833.36</v>
      </c>
      <c r="H87" s="470"/>
      <c r="I87" s="467">
        <f t="shared" si="80"/>
        <v>6495908.64</v>
      </c>
      <c r="J87" s="467">
        <v>200000</v>
      </c>
      <c r="K87" s="467">
        <v>0.2</v>
      </c>
      <c r="L87" s="467">
        <f t="shared" si="81"/>
        <v>1299181.728</v>
      </c>
      <c r="M87" s="467">
        <f t="shared" si="82"/>
        <v>1499181.728</v>
      </c>
      <c r="N87" s="467">
        <f t="shared" si="83"/>
        <v>2058015.088</v>
      </c>
      <c r="O87" s="467">
        <f t="shared" si="84"/>
        <v>4996726.912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431214.458880001</v>
      </c>
      <c r="V87" s="467">
        <f t="shared" si="91"/>
        <v>991214.458880001</v>
      </c>
      <c r="W87" s="474">
        <v>12</v>
      </c>
      <c r="X87" s="467">
        <f t="shared" si="92"/>
        <v>82601.2049066667</v>
      </c>
      <c r="Y87" s="470"/>
      <c r="Z87" s="467">
        <f t="shared" si="93"/>
        <v>82601.2049066667</v>
      </c>
      <c r="AA87" s="467">
        <v>79956.9391466667</v>
      </c>
      <c r="AB87" s="479">
        <f t="shared" si="94"/>
        <v>2644.26576000001</v>
      </c>
      <c r="AC87" s="479" t="s">
        <v>208</v>
      </c>
      <c r="AD87" s="479"/>
      <c r="AE87" s="479"/>
    </row>
    <row r="88" ht="18" spans="1:31">
      <c r="A88" s="464">
        <v>71</v>
      </c>
      <c r="B88" s="11" t="s">
        <v>209</v>
      </c>
      <c r="C88" s="467">
        <v>582746.5</v>
      </c>
      <c r="D88" s="466">
        <v>12</v>
      </c>
      <c r="E88" s="467">
        <f t="shared" si="79"/>
        <v>6992958</v>
      </c>
      <c r="F88" s="467"/>
      <c r="G88" s="468">
        <v>424132.72</v>
      </c>
      <c r="H88" s="470"/>
      <c r="I88" s="467">
        <f t="shared" si="80"/>
        <v>6568825.28</v>
      </c>
      <c r="J88" s="467">
        <v>200000</v>
      </c>
      <c r="K88" s="467">
        <v>0.2</v>
      </c>
      <c r="L88" s="467">
        <f t="shared" si="81"/>
        <v>1313765.056</v>
      </c>
      <c r="M88" s="467">
        <f t="shared" si="82"/>
        <v>1513765.056</v>
      </c>
      <c r="N88" s="467">
        <f t="shared" si="83"/>
        <v>1937897.776</v>
      </c>
      <c r="O88" s="467">
        <f t="shared" si="84"/>
        <v>5055060.224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445214.45376</v>
      </c>
      <c r="V88" s="467">
        <f t="shared" si="91"/>
        <v>1005214.45376</v>
      </c>
      <c r="W88" s="474">
        <v>12</v>
      </c>
      <c r="X88" s="467">
        <f t="shared" si="92"/>
        <v>83767.8711466667</v>
      </c>
      <c r="Y88" s="470"/>
      <c r="Z88" s="467">
        <f t="shared" si="93"/>
        <v>83767.8711466667</v>
      </c>
      <c r="AA88" s="467">
        <v>75574.6772906667</v>
      </c>
      <c r="AB88" s="479">
        <f t="shared" si="94"/>
        <v>8193.19385599995</v>
      </c>
      <c r="AC88" s="479" t="s">
        <v>209</v>
      </c>
      <c r="AD88" s="479"/>
      <c r="AE88" s="479"/>
    </row>
    <row r="89" ht="18" spans="1:31">
      <c r="A89" s="464">
        <v>72</v>
      </c>
      <c r="B89" s="11" t="s">
        <v>210</v>
      </c>
      <c r="C89" s="467">
        <v>548915.916666667</v>
      </c>
      <c r="D89" s="466">
        <v>12</v>
      </c>
      <c r="E89" s="467">
        <f t="shared" si="79"/>
        <v>6586991</v>
      </c>
      <c r="F89" s="467"/>
      <c r="G89" s="468">
        <v>411759.28</v>
      </c>
      <c r="H89" s="470"/>
      <c r="I89" s="467">
        <f t="shared" si="80"/>
        <v>6175231.72</v>
      </c>
      <c r="J89" s="467">
        <v>200000</v>
      </c>
      <c r="K89" s="467">
        <v>0.2</v>
      </c>
      <c r="L89" s="467">
        <f t="shared" si="81"/>
        <v>1235046.344</v>
      </c>
      <c r="M89" s="467">
        <f t="shared" si="82"/>
        <v>1435046.344</v>
      </c>
      <c r="N89" s="467">
        <f t="shared" si="83"/>
        <v>1846805.624</v>
      </c>
      <c r="O89" s="467">
        <f t="shared" si="84"/>
        <v>4740185.376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336000</v>
      </c>
      <c r="U89" s="467">
        <f t="shared" si="90"/>
        <v>369644.490240001</v>
      </c>
      <c r="V89" s="467">
        <f t="shared" si="91"/>
        <v>929644.490240001</v>
      </c>
      <c r="W89" s="474">
        <v>12</v>
      </c>
      <c r="X89" s="467">
        <f t="shared" si="92"/>
        <v>77470.3741866667</v>
      </c>
      <c r="Y89" s="470"/>
      <c r="Z89" s="467">
        <f t="shared" si="93"/>
        <v>77470.3741866667</v>
      </c>
      <c r="AA89" s="467">
        <v>50985.9775466667</v>
      </c>
      <c r="AB89" s="479">
        <f t="shared" si="94"/>
        <v>26484.39664</v>
      </c>
      <c r="AC89" s="479" t="s">
        <v>210</v>
      </c>
      <c r="AD89" s="479"/>
      <c r="AE89" s="479"/>
    </row>
    <row r="90" ht="36" spans="1:31">
      <c r="A90" s="464">
        <v>73</v>
      </c>
      <c r="B90" s="11" t="s">
        <v>211</v>
      </c>
      <c r="C90" s="467">
        <v>568870.75</v>
      </c>
      <c r="D90" s="466">
        <v>12</v>
      </c>
      <c r="E90" s="467">
        <f t="shared" si="79"/>
        <v>6826449</v>
      </c>
      <c r="F90" s="467"/>
      <c r="G90" s="468">
        <v>411715.92</v>
      </c>
      <c r="H90" s="470"/>
      <c r="I90" s="467">
        <f t="shared" si="80"/>
        <v>6414733.08</v>
      </c>
      <c r="J90" s="467">
        <v>200000</v>
      </c>
      <c r="K90" s="467">
        <v>0.2</v>
      </c>
      <c r="L90" s="467">
        <f t="shared" si="81"/>
        <v>1282946.616</v>
      </c>
      <c r="M90" s="467">
        <f t="shared" si="82"/>
        <v>1482946.616</v>
      </c>
      <c r="N90" s="467">
        <f t="shared" si="83"/>
        <v>1894662.536</v>
      </c>
      <c r="O90" s="467">
        <f t="shared" si="84"/>
        <v>4931786.464</v>
      </c>
      <c r="P90" s="467">
        <f t="shared" si="85"/>
        <v>21000</v>
      </c>
      <c r="Q90" s="467">
        <f t="shared" si="86"/>
        <v>33000</v>
      </c>
      <c r="R90" s="467">
        <f t="shared" si="87"/>
        <v>75000</v>
      </c>
      <c r="S90" s="467">
        <f t="shared" si="88"/>
        <v>95000</v>
      </c>
      <c r="T90" s="467">
        <f t="shared" si="89"/>
        <v>336000</v>
      </c>
      <c r="U90" s="467">
        <f t="shared" si="90"/>
        <v>415628.75136</v>
      </c>
      <c r="V90" s="467">
        <f t="shared" si="91"/>
        <v>975628.75136</v>
      </c>
      <c r="W90" s="474">
        <v>12</v>
      </c>
      <c r="X90" s="467">
        <f t="shared" si="92"/>
        <v>81302.3959466667</v>
      </c>
      <c r="Y90" s="470"/>
      <c r="Z90" s="467">
        <f t="shared" si="93"/>
        <v>81302.3959466667</v>
      </c>
      <c r="AA90" s="467">
        <v>49548.7761866667</v>
      </c>
      <c r="AB90" s="479">
        <f t="shared" si="94"/>
        <v>31753.61976</v>
      </c>
      <c r="AC90" s="479" t="s">
        <v>211</v>
      </c>
      <c r="AD90" s="479"/>
      <c r="AE90" s="479"/>
    </row>
    <row r="91" ht="18" spans="1:31">
      <c r="A91" s="464">
        <v>74</v>
      </c>
      <c r="B91" s="11" t="s">
        <v>213</v>
      </c>
      <c r="C91" s="467">
        <v>475703.833333333</v>
      </c>
      <c r="D91" s="466">
        <v>12</v>
      </c>
      <c r="E91" s="467">
        <f t="shared" si="79"/>
        <v>5708446</v>
      </c>
      <c r="F91" s="467"/>
      <c r="G91" s="473">
        <f>29256.3066666667*12</f>
        <v>351075.68</v>
      </c>
      <c r="H91" s="470"/>
      <c r="I91" s="467">
        <f t="shared" si="80"/>
        <v>5357370.32</v>
      </c>
      <c r="J91" s="467">
        <v>200000</v>
      </c>
      <c r="K91" s="467">
        <v>0.2</v>
      </c>
      <c r="L91" s="467">
        <f t="shared" si="81"/>
        <v>1071474.064</v>
      </c>
      <c r="M91" s="467">
        <f t="shared" si="82"/>
        <v>1271474.064</v>
      </c>
      <c r="N91" s="467">
        <f t="shared" si="83"/>
        <v>1622549.744</v>
      </c>
      <c r="O91" s="467">
        <f t="shared" si="84"/>
        <v>4085896.256</v>
      </c>
      <c r="P91" s="467">
        <f t="shared" si="85"/>
        <v>21000</v>
      </c>
      <c r="Q91" s="467">
        <f t="shared" si="86"/>
        <v>33000</v>
      </c>
      <c r="R91" s="467">
        <f t="shared" si="87"/>
        <v>75000</v>
      </c>
      <c r="S91" s="467">
        <f t="shared" si="88"/>
        <v>95000</v>
      </c>
      <c r="T91" s="467">
        <f t="shared" si="89"/>
        <v>336000</v>
      </c>
      <c r="U91" s="467">
        <f t="shared" si="90"/>
        <v>212615.101439999</v>
      </c>
      <c r="V91" s="467">
        <f t="shared" si="91"/>
        <v>772615.101439999</v>
      </c>
      <c r="W91" s="474">
        <v>12</v>
      </c>
      <c r="X91" s="467">
        <f t="shared" si="92"/>
        <v>64384.5917866666</v>
      </c>
      <c r="Y91" s="470"/>
      <c r="Z91" s="467">
        <f t="shared" si="93"/>
        <v>64384.5917866666</v>
      </c>
      <c r="AA91" s="467">
        <v>53384.0535626667</v>
      </c>
      <c r="AB91" s="479">
        <f t="shared" si="94"/>
        <v>11000.5382239999</v>
      </c>
      <c r="AC91" s="479" t="s">
        <v>213</v>
      </c>
      <c r="AD91" s="479"/>
      <c r="AE91" s="479"/>
    </row>
    <row r="92" ht="24" customHeight="1" spans="1:31">
      <c r="A92" s="464">
        <v>75</v>
      </c>
      <c r="B92" s="11" t="s">
        <v>214</v>
      </c>
      <c r="C92" s="467">
        <v>510248.916666667</v>
      </c>
      <c r="D92" s="466">
        <v>12</v>
      </c>
      <c r="E92" s="467">
        <f t="shared" si="79"/>
        <v>6122987</v>
      </c>
      <c r="F92" s="467">
        <f>'[6]JANUARY 2024'!$V$92*12</f>
        <v>6922.497</v>
      </c>
      <c r="G92" s="468">
        <v>374638.96</v>
      </c>
      <c r="H92" s="470"/>
      <c r="I92" s="467">
        <f t="shared" si="80"/>
        <v>5741425.543</v>
      </c>
      <c r="J92" s="467">
        <v>200000</v>
      </c>
      <c r="K92" s="467">
        <v>0.2</v>
      </c>
      <c r="L92" s="467">
        <f t="shared" si="81"/>
        <v>1148285.1086</v>
      </c>
      <c r="M92" s="467">
        <f t="shared" si="82"/>
        <v>1348285.1086</v>
      </c>
      <c r="N92" s="467">
        <f t="shared" si="83"/>
        <v>1729846.5656</v>
      </c>
      <c r="O92" s="467">
        <f t="shared" si="84"/>
        <v>4393140.4344</v>
      </c>
      <c r="P92" s="467">
        <f t="shared" si="85"/>
        <v>21000</v>
      </c>
      <c r="Q92" s="467">
        <f t="shared" si="86"/>
        <v>33000</v>
      </c>
      <c r="R92" s="467">
        <f t="shared" si="87"/>
        <v>75000</v>
      </c>
      <c r="S92" s="467">
        <f t="shared" si="88"/>
        <v>95000</v>
      </c>
      <c r="T92" s="467">
        <f t="shared" si="89"/>
        <v>336000</v>
      </c>
      <c r="U92" s="467">
        <f t="shared" si="90"/>
        <v>286353.704256001</v>
      </c>
      <c r="V92" s="467">
        <f t="shared" si="91"/>
        <v>846353.704256001</v>
      </c>
      <c r="W92" s="474">
        <v>12</v>
      </c>
      <c r="X92" s="467">
        <f t="shared" si="92"/>
        <v>70529.4753546667</v>
      </c>
      <c r="Y92" s="470"/>
      <c r="Z92" s="467">
        <f t="shared" si="93"/>
        <v>70529.4753546667</v>
      </c>
      <c r="AA92" s="467">
        <v>41242.0361406667</v>
      </c>
      <c r="AB92" s="479">
        <f t="shared" si="94"/>
        <v>29287.439214</v>
      </c>
      <c r="AC92" s="479" t="s">
        <v>214</v>
      </c>
      <c r="AD92" s="479"/>
      <c r="AE92" s="479"/>
    </row>
    <row r="93" ht="18" spans="1:31">
      <c r="A93" s="464">
        <v>76</v>
      </c>
      <c r="B93" s="11" t="s">
        <v>217</v>
      </c>
      <c r="C93" s="467">
        <v>400965.583333333</v>
      </c>
      <c r="D93" s="466">
        <v>12</v>
      </c>
      <c r="E93" s="467">
        <f t="shared" si="79"/>
        <v>4811587</v>
      </c>
      <c r="F93" s="467"/>
      <c r="G93" s="468">
        <v>288926.96</v>
      </c>
      <c r="H93" s="470"/>
      <c r="I93" s="467">
        <f t="shared" si="80"/>
        <v>4522660.04</v>
      </c>
      <c r="J93" s="467">
        <v>200000</v>
      </c>
      <c r="K93" s="467">
        <v>0.2</v>
      </c>
      <c r="L93" s="467">
        <f t="shared" si="81"/>
        <v>904532.007999999</v>
      </c>
      <c r="M93" s="467">
        <f t="shared" si="82"/>
        <v>1104532.008</v>
      </c>
      <c r="N93" s="467">
        <f t="shared" si="83"/>
        <v>1393458.968</v>
      </c>
      <c r="O93" s="467">
        <f t="shared" si="84"/>
        <v>3418128.032</v>
      </c>
      <c r="P93" s="467">
        <f t="shared" si="85"/>
        <v>21000</v>
      </c>
      <c r="Q93" s="467">
        <f t="shared" si="86"/>
        <v>33000</v>
      </c>
      <c r="R93" s="467">
        <f t="shared" si="87"/>
        <v>75000</v>
      </c>
      <c r="S93" s="467">
        <f t="shared" si="88"/>
        <v>95000</v>
      </c>
      <c r="T93" s="467">
        <f t="shared" si="89"/>
        <v>336000</v>
      </c>
      <c r="U93" s="467">
        <f t="shared" si="90"/>
        <v>52350.7276799992</v>
      </c>
      <c r="V93" s="467">
        <f t="shared" si="91"/>
        <v>612350.727679999</v>
      </c>
      <c r="W93" s="474">
        <v>12</v>
      </c>
      <c r="X93" s="467">
        <f t="shared" si="92"/>
        <v>51029.2273066666</v>
      </c>
      <c r="Y93" s="470"/>
      <c r="Z93" s="467">
        <f t="shared" si="93"/>
        <v>51029.2273066666</v>
      </c>
      <c r="AA93" s="467">
        <v>45414.4562526667</v>
      </c>
      <c r="AB93" s="479">
        <f t="shared" si="94"/>
        <v>5614.7710539999</v>
      </c>
      <c r="AC93" s="479" t="s">
        <v>217</v>
      </c>
      <c r="AD93" s="479"/>
      <c r="AE93" s="479"/>
    </row>
    <row r="94" ht="18" spans="1:31">
      <c r="A94" s="464"/>
      <c r="B94" s="11" t="s">
        <v>221</v>
      </c>
      <c r="C94" s="467">
        <v>330631.916666667</v>
      </c>
      <c r="D94" s="466">
        <v>12</v>
      </c>
      <c r="E94" s="467">
        <f t="shared" si="79"/>
        <v>3967583</v>
      </c>
      <c r="F94" s="467"/>
      <c r="G94" s="468">
        <v>221406.64</v>
      </c>
      <c r="H94" s="470"/>
      <c r="I94" s="467">
        <f t="shared" si="80"/>
        <v>3746176.36</v>
      </c>
      <c r="J94" s="467">
        <v>200000</v>
      </c>
      <c r="K94" s="467">
        <v>0.2</v>
      </c>
      <c r="L94" s="467">
        <f t="shared" si="81"/>
        <v>749235.272000001</v>
      </c>
      <c r="M94" s="467">
        <f t="shared" si="82"/>
        <v>949235.272000001</v>
      </c>
      <c r="N94" s="467">
        <f t="shared" si="83"/>
        <v>1170641.912</v>
      </c>
      <c r="O94" s="467">
        <f t="shared" si="84"/>
        <v>2796941.088</v>
      </c>
      <c r="P94" s="467">
        <f t="shared" si="85"/>
        <v>21000</v>
      </c>
      <c r="Q94" s="467">
        <f t="shared" si="86"/>
        <v>33000</v>
      </c>
      <c r="R94" s="467">
        <f t="shared" si="87"/>
        <v>75000</v>
      </c>
      <c r="S94" s="467">
        <f t="shared" si="88"/>
        <v>95000</v>
      </c>
      <c r="T94" s="467">
        <f t="shared" si="89"/>
        <v>251357.628480001</v>
      </c>
      <c r="U94" s="467"/>
      <c r="V94" s="467">
        <f t="shared" si="91"/>
        <v>475357.628480001</v>
      </c>
      <c r="W94" s="474">
        <v>12</v>
      </c>
      <c r="X94" s="467">
        <f t="shared" si="92"/>
        <v>39613.1357066667</v>
      </c>
      <c r="Y94" s="470"/>
      <c r="Z94" s="467">
        <f t="shared" si="93"/>
        <v>39613.1357066667</v>
      </c>
      <c r="AA94" s="467">
        <v>33825.9865626667</v>
      </c>
      <c r="AB94" s="479">
        <f t="shared" si="94"/>
        <v>5787.14914400001</v>
      </c>
      <c r="AC94" s="479" t="s">
        <v>221</v>
      </c>
      <c r="AD94" s="479"/>
      <c r="AE94" s="479"/>
    </row>
    <row r="95" ht="17.5" spans="1:31">
      <c r="A95" s="464"/>
      <c r="B95" s="20"/>
      <c r="C95" s="467"/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7.5" spans="1:31">
      <c r="A96" s="464"/>
      <c r="B96" s="22"/>
      <c r="C96" s="467"/>
      <c r="D96" s="466"/>
      <c r="E96" s="467"/>
      <c r="F96" s="467"/>
      <c r="G96" s="470"/>
      <c r="H96" s="470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74"/>
      <c r="X96" s="467"/>
      <c r="Y96" s="470"/>
      <c r="Z96" s="467"/>
      <c r="AA96" s="479"/>
      <c r="AB96" s="479"/>
      <c r="AC96" s="479"/>
      <c r="AD96" s="479"/>
      <c r="AE96" s="479"/>
    </row>
    <row r="97" ht="17.5" spans="1:31">
      <c r="A97" s="464">
        <v>78</v>
      </c>
      <c r="B97" s="20" t="s">
        <v>224</v>
      </c>
      <c r="C97" s="467"/>
      <c r="AC97" s="479"/>
      <c r="AD97" s="479"/>
      <c r="AE97" s="479"/>
    </row>
    <row r="98" ht="18" spans="1:31">
      <c r="A98" s="464">
        <v>79</v>
      </c>
      <c r="B98" s="14" t="s">
        <v>225</v>
      </c>
      <c r="C98" s="467">
        <v>1452042.67</v>
      </c>
      <c r="D98" s="466">
        <v>12</v>
      </c>
      <c r="E98" s="467">
        <f t="shared" ref="E98:E101" si="95">C98*D98</f>
        <v>17424512.04</v>
      </c>
      <c r="F98" s="467">
        <f>'[6]JANUARY 2024'!$V$98*12</f>
        <v>12795.951</v>
      </c>
      <c r="G98" s="468">
        <f>(0.08*1352042.67)*12</f>
        <v>1297960.9632</v>
      </c>
      <c r="H98" s="470"/>
      <c r="I98" s="467">
        <f t="shared" ref="I98:I101" si="96">E98-F98-G98-H98</f>
        <v>16113755.1258</v>
      </c>
      <c r="J98" s="467">
        <v>200000</v>
      </c>
      <c r="K98" s="467">
        <v>0.2</v>
      </c>
      <c r="L98" s="467">
        <f t="shared" ref="L98:L101" si="97">I98*K98</f>
        <v>3222751.02516</v>
      </c>
      <c r="M98" s="467">
        <f t="shared" ref="M98:M101" si="98">J98+L98</f>
        <v>3422751.02516</v>
      </c>
      <c r="N98" s="467">
        <f t="shared" ref="N98:N101" si="99">F98+G98+H98+M98</f>
        <v>4733507.93936</v>
      </c>
      <c r="O98" s="467">
        <f t="shared" ref="O98:O101" si="100">E98-N98</f>
        <v>12691004.10064</v>
      </c>
      <c r="P98" s="467">
        <f t="shared" ref="P98:P101" si="101">IF(O98&lt;300000,0.07*O98,21000)</f>
        <v>21000</v>
      </c>
      <c r="Q98" s="467">
        <f t="shared" ref="Q98:Q101" si="102">IF((O98-300000)&lt;0,0,IF((O98-300000)&lt;300000,0.11*(O98-300000),33000))</f>
        <v>33000</v>
      </c>
      <c r="R98" s="467">
        <f t="shared" ref="R98:R101" si="103">IF((O98-600000)&lt;0,0,IF((O98-600000)&lt;500000,0.15*(O98-600000),75000))</f>
        <v>75000</v>
      </c>
      <c r="S98" s="467">
        <f t="shared" ref="S98:S101" si="104">IF((O98-1100000)&lt;0,0,IF((O98-1100000)&lt;500000,0.19*(O98-1100000),95000))</f>
        <v>95000</v>
      </c>
      <c r="T98" s="467">
        <f t="shared" ref="T98:T101" si="105">IF((O98-1600000)&lt;0,0,IF((O98-1600000)&lt;1600000,0.21*(O98-1600000),336000))</f>
        <v>336000</v>
      </c>
      <c r="U98" s="467">
        <f t="shared" ref="U98:U100" si="106">24%*(O98-3200000)</f>
        <v>2277840.9841536</v>
      </c>
      <c r="V98" s="467">
        <f t="shared" ref="V98:V101" si="107">P98+Q98+R98+S98+T98+U98</f>
        <v>2837840.9841536</v>
      </c>
      <c r="W98" s="474">
        <v>12</v>
      </c>
      <c r="X98" s="467">
        <f t="shared" ref="X98:X101" si="108">V98/W98</f>
        <v>236486.748679467</v>
      </c>
      <c r="Y98" s="470"/>
      <c r="Z98" s="467">
        <f t="shared" ref="Z98:Z101" si="109">X98</f>
        <v>236486.748679467</v>
      </c>
      <c r="AA98" s="479">
        <v>82423.2162026667</v>
      </c>
      <c r="AB98" s="479">
        <f t="shared" ref="AB98:AB101" si="110">Z98-AA98</f>
        <v>154063.5324768</v>
      </c>
      <c r="AC98" s="479" t="s">
        <v>225</v>
      </c>
      <c r="AD98" s="479"/>
      <c r="AE98" s="479"/>
    </row>
    <row r="99" ht="18" spans="1:31">
      <c r="A99" s="464">
        <v>80</v>
      </c>
      <c r="B99" s="11" t="s">
        <v>227</v>
      </c>
      <c r="C99" s="467">
        <v>526622.25</v>
      </c>
      <c r="D99" s="466">
        <v>12</v>
      </c>
      <c r="E99" s="467">
        <f t="shared" si="95"/>
        <v>6319467</v>
      </c>
      <c r="F99" s="467"/>
      <c r="G99" s="468">
        <v>438357.36</v>
      </c>
      <c r="H99" s="470"/>
      <c r="I99" s="467">
        <f t="shared" si="96"/>
        <v>5881109.64</v>
      </c>
      <c r="J99" s="467">
        <v>200000</v>
      </c>
      <c r="K99" s="467">
        <v>0.2</v>
      </c>
      <c r="L99" s="467">
        <f t="shared" si="97"/>
        <v>1176221.928</v>
      </c>
      <c r="M99" s="467">
        <f t="shared" si="98"/>
        <v>1376221.928</v>
      </c>
      <c r="N99" s="467">
        <f t="shared" si="99"/>
        <v>1814579.288</v>
      </c>
      <c r="O99" s="467">
        <f t="shared" si="100"/>
        <v>4504887.712</v>
      </c>
      <c r="P99" s="467">
        <f t="shared" si="101"/>
        <v>21000</v>
      </c>
      <c r="Q99" s="467">
        <f t="shared" si="102"/>
        <v>33000</v>
      </c>
      <c r="R99" s="467">
        <f t="shared" si="103"/>
        <v>75000</v>
      </c>
      <c r="S99" s="467">
        <f t="shared" si="104"/>
        <v>95000</v>
      </c>
      <c r="T99" s="467">
        <f t="shared" si="105"/>
        <v>336000</v>
      </c>
      <c r="U99" s="467">
        <f t="shared" si="106"/>
        <v>313173.05088</v>
      </c>
      <c r="V99" s="467">
        <f t="shared" si="107"/>
        <v>873173.05088</v>
      </c>
      <c r="W99" s="474">
        <v>12</v>
      </c>
      <c r="X99" s="467">
        <f t="shared" si="108"/>
        <v>72764.4209066667</v>
      </c>
      <c r="Y99" s="470"/>
      <c r="Z99" s="467">
        <f t="shared" si="109"/>
        <v>72764.4209066667</v>
      </c>
      <c r="AA99" s="479">
        <v>82627.9514186667</v>
      </c>
      <c r="AB99" s="479">
        <f t="shared" si="110"/>
        <v>-9863.53051200004</v>
      </c>
      <c r="AC99" s="479" t="s">
        <v>227</v>
      </c>
      <c r="AD99" s="479"/>
      <c r="AE99" s="479"/>
    </row>
    <row r="100" ht="18" spans="1:31">
      <c r="A100" s="464">
        <v>81</v>
      </c>
      <c r="B100" s="11" t="s">
        <v>233</v>
      </c>
      <c r="C100" s="467">
        <v>437895.166666667</v>
      </c>
      <c r="D100" s="466">
        <v>12</v>
      </c>
      <c r="E100" s="467">
        <f t="shared" si="95"/>
        <v>5254742</v>
      </c>
      <c r="F100" s="467"/>
      <c r="G100" s="468">
        <v>362779.36</v>
      </c>
      <c r="H100" s="470"/>
      <c r="I100" s="467">
        <f t="shared" si="96"/>
        <v>4891962.64</v>
      </c>
      <c r="J100" s="467">
        <v>200000</v>
      </c>
      <c r="K100" s="467">
        <v>0.2</v>
      </c>
      <c r="L100" s="467">
        <f t="shared" si="97"/>
        <v>978392.528000001</v>
      </c>
      <c r="M100" s="467">
        <f t="shared" si="98"/>
        <v>1178392.528</v>
      </c>
      <c r="N100" s="467">
        <f t="shared" si="99"/>
        <v>1541171.888</v>
      </c>
      <c r="O100" s="467">
        <f t="shared" si="100"/>
        <v>3713570.112</v>
      </c>
      <c r="P100" s="467">
        <f t="shared" si="101"/>
        <v>21000</v>
      </c>
      <c r="Q100" s="467">
        <f t="shared" si="102"/>
        <v>33000</v>
      </c>
      <c r="R100" s="467">
        <f t="shared" si="103"/>
        <v>75000</v>
      </c>
      <c r="S100" s="467">
        <f t="shared" si="104"/>
        <v>95000</v>
      </c>
      <c r="T100" s="467">
        <f t="shared" si="105"/>
        <v>336000</v>
      </c>
      <c r="U100" s="467">
        <f t="shared" si="106"/>
        <v>123256.826880001</v>
      </c>
      <c r="V100" s="467">
        <f t="shared" si="107"/>
        <v>683256.826880001</v>
      </c>
      <c r="W100" s="474">
        <v>12</v>
      </c>
      <c r="X100" s="467">
        <f t="shared" si="108"/>
        <v>56938.0689066667</v>
      </c>
      <c r="Y100" s="470"/>
      <c r="Z100" s="467">
        <f t="shared" si="109"/>
        <v>56938.0689066667</v>
      </c>
      <c r="AA100" s="479">
        <v>43492.3733766667</v>
      </c>
      <c r="AB100" s="479">
        <f t="shared" si="110"/>
        <v>13445.69553</v>
      </c>
      <c r="AC100" s="479" t="s">
        <v>233</v>
      </c>
      <c r="AD100" s="479"/>
      <c r="AE100" s="479"/>
    </row>
    <row r="101" ht="18" spans="1:31">
      <c r="A101" s="464"/>
      <c r="B101" s="11" t="s">
        <v>234</v>
      </c>
      <c r="C101" s="467">
        <v>360965.583333333</v>
      </c>
      <c r="D101" s="466">
        <v>12</v>
      </c>
      <c r="E101" s="467">
        <f t="shared" si="95"/>
        <v>4331587</v>
      </c>
      <c r="F101" s="467"/>
      <c r="G101" s="468">
        <v>288926.96</v>
      </c>
      <c r="H101" s="470"/>
      <c r="I101" s="467">
        <f t="shared" si="96"/>
        <v>4042660.04</v>
      </c>
      <c r="J101" s="467">
        <v>200000</v>
      </c>
      <c r="K101" s="467">
        <v>0.2</v>
      </c>
      <c r="L101" s="467">
        <f t="shared" si="97"/>
        <v>808532.007999999</v>
      </c>
      <c r="M101" s="467">
        <f t="shared" si="98"/>
        <v>1008532.008</v>
      </c>
      <c r="N101" s="467">
        <f t="shared" si="99"/>
        <v>1297458.968</v>
      </c>
      <c r="O101" s="467">
        <f t="shared" si="100"/>
        <v>3034128.032</v>
      </c>
      <c r="P101" s="467">
        <f t="shared" si="101"/>
        <v>21000</v>
      </c>
      <c r="Q101" s="467">
        <f t="shared" si="102"/>
        <v>33000</v>
      </c>
      <c r="R101" s="467">
        <f t="shared" si="103"/>
        <v>75000</v>
      </c>
      <c r="S101" s="467">
        <f t="shared" si="104"/>
        <v>95000</v>
      </c>
      <c r="T101" s="467">
        <f t="shared" si="105"/>
        <v>301166.886719999</v>
      </c>
      <c r="U101" s="467"/>
      <c r="V101" s="467">
        <f t="shared" si="107"/>
        <v>525166.886719999</v>
      </c>
      <c r="W101" s="474">
        <v>12</v>
      </c>
      <c r="X101" s="467">
        <f t="shared" si="108"/>
        <v>43763.9072266666</v>
      </c>
      <c r="Y101" s="470"/>
      <c r="Z101" s="467">
        <f t="shared" si="109"/>
        <v>43763.9072266666</v>
      </c>
      <c r="AA101" s="479">
        <v>34968.8824146667</v>
      </c>
      <c r="AB101" s="479">
        <f t="shared" si="110"/>
        <v>8795.02481199991</v>
      </c>
      <c r="AC101" s="479" t="s">
        <v>234</v>
      </c>
      <c r="AD101" s="479"/>
      <c r="AE101" s="479"/>
    </row>
    <row r="102" ht="17.5" spans="1:31">
      <c r="A102" s="464"/>
      <c r="B102" s="20" t="s">
        <v>120</v>
      </c>
      <c r="C102" s="467"/>
      <c r="D102" s="466"/>
      <c r="E102" s="467"/>
      <c r="F102" s="467"/>
      <c r="G102" s="470">
        <v>0</v>
      </c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7.5" spans="1:31">
      <c r="A103" s="464">
        <v>83</v>
      </c>
      <c r="B103" s="22"/>
      <c r="C103" s="467"/>
      <c r="G103" s="296">
        <v>0</v>
      </c>
      <c r="AC103" s="479"/>
      <c r="AD103" s="479"/>
      <c r="AE103" s="479"/>
    </row>
    <row r="104" ht="35" spans="1:31">
      <c r="A104" s="464">
        <v>84</v>
      </c>
      <c r="B104" s="20" t="s">
        <v>237</v>
      </c>
      <c r="C104" s="467"/>
      <c r="G104" s="296">
        <v>0</v>
      </c>
      <c r="AB104" s="296" t="s">
        <v>808</v>
      </c>
      <c r="AC104" s="479"/>
      <c r="AD104" s="479"/>
      <c r="AE104" s="479"/>
    </row>
    <row r="105" ht="18" spans="1:31">
      <c r="A105" s="464">
        <v>85</v>
      </c>
      <c r="B105" s="11" t="s">
        <v>556</v>
      </c>
      <c r="C105" s="467">
        <v>1635720</v>
      </c>
      <c r="D105" s="466">
        <v>12</v>
      </c>
      <c r="E105" s="467">
        <f t="shared" ref="E105:E111" si="111">C105*D105</f>
        <v>19628640</v>
      </c>
      <c r="F105" s="467"/>
      <c r="G105" s="468">
        <v>1378291.2</v>
      </c>
      <c r="H105" s="470"/>
      <c r="I105" s="467">
        <f t="shared" ref="I105:I110" si="112">E105-F105-G105-H105</f>
        <v>18250348.8</v>
      </c>
      <c r="J105" s="467">
        <v>200000</v>
      </c>
      <c r="K105" s="467">
        <v>0.2</v>
      </c>
      <c r="L105" s="467">
        <f t="shared" ref="L105:L111" si="113">I105*K105</f>
        <v>3650069.76</v>
      </c>
      <c r="M105" s="467">
        <f t="shared" ref="M105:M111" si="114">J105+L105</f>
        <v>3850069.76</v>
      </c>
      <c r="N105" s="467">
        <f t="shared" ref="N105:N110" si="115">F105+G105+H105+M105</f>
        <v>5228360.96</v>
      </c>
      <c r="O105" s="467">
        <f t="shared" ref="O105:O111" si="116">E105-N105</f>
        <v>14400279.04</v>
      </c>
      <c r="P105" s="467">
        <f t="shared" ref="P105:P111" si="117">IF(O105&lt;300000,0.07*O105,21000)</f>
        <v>21000</v>
      </c>
      <c r="Q105" s="467">
        <f t="shared" ref="Q105:Q111" si="118">IF((O105-300000)&lt;0,0,IF((O105-300000)&lt;300000,0.11*(O105-300000),33000))</f>
        <v>33000</v>
      </c>
      <c r="R105" s="467">
        <f t="shared" ref="R105:R111" si="119">IF((O105-600000)&lt;0,0,IF((O105-600000)&lt;500000,0.15*(O105-600000),75000))</f>
        <v>75000</v>
      </c>
      <c r="S105" s="467">
        <f t="shared" ref="S105:S111" si="120">IF((O105-1100000)&lt;0,0,IF((O105-1100000)&lt;500000,0.19*(O105-1100000),95000))</f>
        <v>95000</v>
      </c>
      <c r="T105" s="467">
        <f t="shared" ref="T105:T111" si="121">IF((O105-1600000)&lt;0,0,IF((O105-1600000)&lt;1600000,0.21*(O105-1600000),336000))</f>
        <v>336000</v>
      </c>
      <c r="U105" s="467">
        <f t="shared" ref="U105:U107" si="122">24%*(O105-3200000)</f>
        <v>2688066.9696</v>
      </c>
      <c r="V105" s="467">
        <f t="shared" ref="V105:V111" si="123">P105+Q105+R105+S105+T105+U105</f>
        <v>3248066.9696</v>
      </c>
      <c r="W105" s="474">
        <v>12</v>
      </c>
      <c r="X105" s="467">
        <f t="shared" ref="X105:X111" si="124">V105/W105</f>
        <v>270672.247466667</v>
      </c>
      <c r="Y105" s="470"/>
      <c r="Z105" s="467">
        <f t="shared" ref="Z105:Z111" si="125">X105</f>
        <v>270672.247466667</v>
      </c>
      <c r="AA105" s="479">
        <v>180306.806858667</v>
      </c>
      <c r="AB105" s="479">
        <f t="shared" ref="AB105:AB111" si="126">Z105-AA105</f>
        <v>90365.4406079996</v>
      </c>
      <c r="AC105" s="479" t="s">
        <v>556</v>
      </c>
      <c r="AD105" s="479"/>
      <c r="AE105" s="479"/>
    </row>
    <row r="106" ht="18" spans="1:31">
      <c r="A106" s="464">
        <v>86</v>
      </c>
      <c r="B106" s="11" t="s">
        <v>240</v>
      </c>
      <c r="C106" s="467">
        <v>942373.166666667</v>
      </c>
      <c r="D106" s="466">
        <v>12</v>
      </c>
      <c r="E106" s="467">
        <f t="shared" si="111"/>
        <v>11308478</v>
      </c>
      <c r="F106" s="467">
        <f>'[6]JANUARY 2024'!$V$106*12</f>
        <v>12795.951</v>
      </c>
      <c r="G106" s="468">
        <v>731878.24</v>
      </c>
      <c r="H106" s="470"/>
      <c r="I106" s="467">
        <f t="shared" si="112"/>
        <v>10563803.809</v>
      </c>
      <c r="J106" s="467">
        <v>200000</v>
      </c>
      <c r="K106" s="467">
        <v>0.2</v>
      </c>
      <c r="L106" s="467">
        <f t="shared" si="113"/>
        <v>2112760.7618</v>
      </c>
      <c r="M106" s="467">
        <f t="shared" si="114"/>
        <v>2312760.7618</v>
      </c>
      <c r="N106" s="467">
        <f t="shared" si="115"/>
        <v>3057434.9528</v>
      </c>
      <c r="O106" s="467">
        <f t="shared" si="116"/>
        <v>8251043.0472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336000</v>
      </c>
      <c r="U106" s="467">
        <f t="shared" si="122"/>
        <v>1212250.331328</v>
      </c>
      <c r="V106" s="467">
        <f t="shared" si="123"/>
        <v>1772250.331328</v>
      </c>
      <c r="W106" s="474">
        <v>12</v>
      </c>
      <c r="X106" s="467">
        <f t="shared" si="124"/>
        <v>147687.527610667</v>
      </c>
      <c r="Y106" s="470"/>
      <c r="Z106" s="467">
        <f t="shared" si="125"/>
        <v>147687.527610667</v>
      </c>
      <c r="AA106" s="479">
        <v>99703.2162026667</v>
      </c>
      <c r="AB106" s="479">
        <f t="shared" si="126"/>
        <v>47984.311408</v>
      </c>
      <c r="AC106" s="479" t="s">
        <v>240</v>
      </c>
      <c r="AD106" s="479"/>
      <c r="AE106" s="479"/>
    </row>
    <row r="107" ht="18" spans="1:31">
      <c r="A107" s="464">
        <v>87</v>
      </c>
      <c r="B107" s="11" t="s">
        <v>242</v>
      </c>
      <c r="C107" s="467">
        <v>603237.855191667</v>
      </c>
      <c r="D107" s="466">
        <v>12</v>
      </c>
      <c r="E107" s="467">
        <f t="shared" si="111"/>
        <v>7238854.2623</v>
      </c>
      <c r="F107" s="467">
        <f>'[6]JANUARY 2024'!$V$107*12</f>
        <v>7901.79</v>
      </c>
      <c r="G107" s="468">
        <v>424132.72</v>
      </c>
      <c r="H107" s="470"/>
      <c r="I107" s="467">
        <f t="shared" si="112"/>
        <v>6806819.7523</v>
      </c>
      <c r="J107" s="467">
        <v>200000</v>
      </c>
      <c r="K107" s="467">
        <v>0.2</v>
      </c>
      <c r="L107" s="467">
        <f t="shared" si="113"/>
        <v>1361363.95046</v>
      </c>
      <c r="M107" s="467">
        <f t="shared" si="114"/>
        <v>1561363.95046</v>
      </c>
      <c r="N107" s="467">
        <f t="shared" si="115"/>
        <v>1993398.46046</v>
      </c>
      <c r="O107" s="467">
        <f t="shared" si="116"/>
        <v>5245455.80184</v>
      </c>
      <c r="P107" s="467">
        <f t="shared" si="117"/>
        <v>21000</v>
      </c>
      <c r="Q107" s="467">
        <f t="shared" si="118"/>
        <v>33000</v>
      </c>
      <c r="R107" s="467">
        <f t="shared" si="119"/>
        <v>75000</v>
      </c>
      <c r="S107" s="467">
        <f t="shared" si="120"/>
        <v>95000</v>
      </c>
      <c r="T107" s="467">
        <f t="shared" si="121"/>
        <v>336000</v>
      </c>
      <c r="U107" s="467">
        <f t="shared" si="122"/>
        <v>490909.392441601</v>
      </c>
      <c r="V107" s="467">
        <f t="shared" si="123"/>
        <v>1050909.3924416</v>
      </c>
      <c r="W107" s="474">
        <v>12</v>
      </c>
      <c r="X107" s="467">
        <f t="shared" si="124"/>
        <v>87575.7827034667</v>
      </c>
      <c r="Y107" s="470"/>
      <c r="Z107" s="467">
        <f t="shared" si="125"/>
        <v>87575.7827034667</v>
      </c>
      <c r="AA107" s="479">
        <v>180180.378218667</v>
      </c>
      <c r="AB107" s="479">
        <f t="shared" si="126"/>
        <v>-92604.5955152003</v>
      </c>
      <c r="AC107" s="479" t="s">
        <v>242</v>
      </c>
      <c r="AD107" s="479"/>
      <c r="AE107" s="479"/>
    </row>
    <row r="108" ht="18" spans="1:31">
      <c r="A108" s="464">
        <v>88</v>
      </c>
      <c r="B108" s="11" t="s">
        <v>244</v>
      </c>
      <c r="C108" s="467">
        <v>601625.033321667</v>
      </c>
      <c r="D108" s="466">
        <v>12</v>
      </c>
      <c r="E108" s="467">
        <f t="shared" si="111"/>
        <v>7219500.39986</v>
      </c>
      <c r="F108" s="467"/>
      <c r="G108" s="468">
        <v>424132.72</v>
      </c>
      <c r="H108" s="470"/>
      <c r="I108" s="467">
        <f t="shared" si="112"/>
        <v>6795367.67986</v>
      </c>
      <c r="J108" s="467">
        <v>200000</v>
      </c>
      <c r="K108" s="467">
        <v>0.2</v>
      </c>
      <c r="L108" s="467">
        <f t="shared" si="113"/>
        <v>1359073.535972</v>
      </c>
      <c r="M108" s="467">
        <f t="shared" si="114"/>
        <v>1559073.535972</v>
      </c>
      <c r="N108" s="467">
        <f t="shared" si="115"/>
        <v>1983206.255972</v>
      </c>
      <c r="O108" s="467">
        <f t="shared" si="116"/>
        <v>5236294.143888</v>
      </c>
      <c r="P108" s="467">
        <f t="shared" si="117"/>
        <v>21000</v>
      </c>
      <c r="Q108" s="467">
        <f t="shared" si="118"/>
        <v>33000</v>
      </c>
      <c r="R108" s="467">
        <f t="shared" si="119"/>
        <v>75000</v>
      </c>
      <c r="S108" s="467">
        <f t="shared" si="120"/>
        <v>95000</v>
      </c>
      <c r="T108" s="467">
        <f t="shared" si="121"/>
        <v>336000</v>
      </c>
      <c r="U108" s="467">
        <f>0.24*(O108-3200000)</f>
        <v>488710.594533121</v>
      </c>
      <c r="V108" s="467">
        <f t="shared" si="123"/>
        <v>1048710.59453312</v>
      </c>
      <c r="W108" s="474">
        <v>12</v>
      </c>
      <c r="X108" s="467">
        <f t="shared" si="124"/>
        <v>87392.5495444267</v>
      </c>
      <c r="Y108" s="470"/>
      <c r="Z108" s="467">
        <f t="shared" si="125"/>
        <v>87392.5495444267</v>
      </c>
      <c r="AA108" s="479">
        <v>99907.9514186667</v>
      </c>
      <c r="AB108" s="479">
        <f t="shared" si="126"/>
        <v>-12515.40187424</v>
      </c>
      <c r="AC108" s="479" t="s">
        <v>244</v>
      </c>
      <c r="AD108" s="479"/>
      <c r="AE108" s="479"/>
    </row>
    <row r="109" ht="18" spans="1:31">
      <c r="A109" s="464">
        <v>89</v>
      </c>
      <c r="B109" s="11" t="s">
        <v>247</v>
      </c>
      <c r="C109" s="467">
        <v>374481.864146667</v>
      </c>
      <c r="D109" s="466">
        <v>12</v>
      </c>
      <c r="E109" s="467">
        <f t="shared" si="111"/>
        <v>4493782.36976</v>
      </c>
      <c r="F109" s="467"/>
      <c r="G109" s="468">
        <v>239182.48</v>
      </c>
      <c r="H109" s="470"/>
      <c r="I109" s="467">
        <f t="shared" si="112"/>
        <v>4254599.88976</v>
      </c>
      <c r="J109" s="467">
        <v>200000</v>
      </c>
      <c r="K109" s="467">
        <v>0.2</v>
      </c>
      <c r="L109" s="467">
        <f t="shared" si="113"/>
        <v>850919.977952001</v>
      </c>
      <c r="M109" s="467">
        <f t="shared" si="114"/>
        <v>1050919.977952</v>
      </c>
      <c r="N109" s="467">
        <f t="shared" si="115"/>
        <v>1290102.457952</v>
      </c>
      <c r="O109" s="467">
        <f t="shared" si="116"/>
        <v>3203679.911808</v>
      </c>
      <c r="P109" s="467">
        <f t="shared" si="117"/>
        <v>21000</v>
      </c>
      <c r="Q109" s="467">
        <f t="shared" si="118"/>
        <v>33000</v>
      </c>
      <c r="R109" s="467">
        <f t="shared" si="119"/>
        <v>75000</v>
      </c>
      <c r="S109" s="467">
        <f t="shared" si="120"/>
        <v>95000</v>
      </c>
      <c r="T109" s="467">
        <f t="shared" si="121"/>
        <v>336000</v>
      </c>
      <c r="U109" s="467">
        <f>0.24*(O109-3200000)</f>
        <v>883.178833920769</v>
      </c>
      <c r="V109" s="467">
        <f t="shared" si="123"/>
        <v>560883.178833921</v>
      </c>
      <c r="W109" s="474">
        <v>12</v>
      </c>
      <c r="X109" s="467">
        <f t="shared" si="124"/>
        <v>46740.2649028267</v>
      </c>
      <c r="Y109" s="470"/>
      <c r="Z109" s="467">
        <f t="shared" si="125"/>
        <v>46740.2649028267</v>
      </c>
      <c r="AA109" s="479">
        <v>58941.1017434667</v>
      </c>
      <c r="AB109" s="479">
        <f t="shared" si="126"/>
        <v>-12200.83684064</v>
      </c>
      <c r="AC109" s="479" t="s">
        <v>247</v>
      </c>
      <c r="AD109" s="479"/>
      <c r="AE109" s="479"/>
    </row>
    <row r="110" ht="36" spans="1:31">
      <c r="A110" s="464"/>
      <c r="B110" s="18" t="s">
        <v>250</v>
      </c>
      <c r="C110" s="467">
        <v>367926.021</v>
      </c>
      <c r="D110" s="466">
        <v>12</v>
      </c>
      <c r="E110" s="467">
        <f t="shared" si="111"/>
        <v>4415112.252</v>
      </c>
      <c r="F110" s="467"/>
      <c r="G110" s="468">
        <v>233257.2</v>
      </c>
      <c r="H110" s="470"/>
      <c r="I110" s="467">
        <f t="shared" si="112"/>
        <v>4181855.052</v>
      </c>
      <c r="J110" s="467">
        <v>200000</v>
      </c>
      <c r="K110" s="467">
        <v>0.2</v>
      </c>
      <c r="L110" s="467">
        <f t="shared" si="113"/>
        <v>836371.0104</v>
      </c>
      <c r="M110" s="467">
        <f t="shared" si="114"/>
        <v>1036371.0104</v>
      </c>
      <c r="N110" s="467">
        <f t="shared" si="115"/>
        <v>1269628.2104</v>
      </c>
      <c r="O110" s="467">
        <f t="shared" si="116"/>
        <v>3145484.0416</v>
      </c>
      <c r="P110" s="467">
        <f t="shared" si="117"/>
        <v>21000</v>
      </c>
      <c r="Q110" s="467">
        <f t="shared" si="118"/>
        <v>33000</v>
      </c>
      <c r="R110" s="467">
        <f t="shared" si="119"/>
        <v>75000</v>
      </c>
      <c r="S110" s="467">
        <f t="shared" si="120"/>
        <v>95000</v>
      </c>
      <c r="T110" s="467">
        <f t="shared" si="121"/>
        <v>324551.648736</v>
      </c>
      <c r="U110" s="467"/>
      <c r="V110" s="467">
        <f t="shared" si="123"/>
        <v>548551.648736</v>
      </c>
      <c r="W110" s="474">
        <v>12</v>
      </c>
      <c r="X110" s="467">
        <f t="shared" si="124"/>
        <v>45712.6373946667</v>
      </c>
      <c r="Y110" s="470"/>
      <c r="Z110" s="467">
        <f t="shared" si="125"/>
        <v>45712.6373946667</v>
      </c>
      <c r="AA110" s="479">
        <v>58631.4399444267</v>
      </c>
      <c r="AB110" s="479">
        <f t="shared" si="126"/>
        <v>-12918.80254976</v>
      </c>
      <c r="AC110" s="479" t="s">
        <v>250</v>
      </c>
      <c r="AD110" s="479"/>
      <c r="AE110" s="479"/>
    </row>
    <row r="111" ht="18" spans="1:31">
      <c r="A111" s="464"/>
      <c r="B111" s="18" t="s">
        <v>251</v>
      </c>
      <c r="C111" s="467">
        <v>355198.112111667</v>
      </c>
      <c r="D111" s="466">
        <v>12</v>
      </c>
      <c r="E111" s="467">
        <f t="shared" si="111"/>
        <v>4262377.34534</v>
      </c>
      <c r="G111" s="468">
        <v>221406.64</v>
      </c>
      <c r="H111" s="470"/>
      <c r="I111" s="467">
        <f>E111-F112-G111-H111</f>
        <v>4040970.70534</v>
      </c>
      <c r="J111" s="467">
        <v>200000</v>
      </c>
      <c r="K111" s="467">
        <v>0.2</v>
      </c>
      <c r="L111" s="467">
        <f t="shared" si="113"/>
        <v>808194.141068001</v>
      </c>
      <c r="M111" s="467">
        <f t="shared" si="114"/>
        <v>1008194.141068</v>
      </c>
      <c r="N111" s="467">
        <f>F112+G111+H111+M111</f>
        <v>1229600.781068</v>
      </c>
      <c r="O111" s="467">
        <f t="shared" si="116"/>
        <v>3032776.564272</v>
      </c>
      <c r="P111" s="467">
        <f t="shared" si="117"/>
        <v>21000</v>
      </c>
      <c r="Q111" s="467">
        <f t="shared" si="118"/>
        <v>33000</v>
      </c>
      <c r="R111" s="467">
        <f t="shared" si="119"/>
        <v>75000</v>
      </c>
      <c r="S111" s="467">
        <f t="shared" si="120"/>
        <v>95000</v>
      </c>
      <c r="T111" s="467">
        <f t="shared" si="121"/>
        <v>300883.078497121</v>
      </c>
      <c r="U111" s="467"/>
      <c r="V111" s="467">
        <f t="shared" si="123"/>
        <v>524883.078497121</v>
      </c>
      <c r="W111" s="474">
        <v>12</v>
      </c>
      <c r="X111" s="467">
        <f t="shared" si="124"/>
        <v>43740.2565414267</v>
      </c>
      <c r="Y111" s="470"/>
      <c r="Z111" s="467">
        <f t="shared" si="125"/>
        <v>43740.2565414267</v>
      </c>
      <c r="AA111" s="479">
        <v>31871.3352033067</v>
      </c>
      <c r="AB111" s="479">
        <f t="shared" si="126"/>
        <v>11868.92133812</v>
      </c>
      <c r="AC111" s="479" t="s">
        <v>251</v>
      </c>
      <c r="AD111" s="479"/>
      <c r="AE111" s="479"/>
    </row>
    <row r="112" ht="17.5" spans="1:31">
      <c r="A112" s="464"/>
      <c r="B112" s="20" t="s">
        <v>120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7.5" spans="1:31">
      <c r="A113" s="464">
        <v>90</v>
      </c>
      <c r="B113" s="20"/>
      <c r="C113" s="467"/>
      <c r="G113" s="468"/>
      <c r="U113" s="467"/>
      <c r="AC113" s="479"/>
      <c r="AD113" s="479"/>
      <c r="AE113" s="479"/>
    </row>
    <row r="114" ht="35" spans="1:31">
      <c r="A114" s="464">
        <v>91</v>
      </c>
      <c r="B114" s="20" t="s">
        <v>255</v>
      </c>
      <c r="C114" s="467"/>
      <c r="G114" s="468"/>
      <c r="U114" s="467"/>
      <c r="AC114" s="479"/>
      <c r="AD114" s="479"/>
      <c r="AE114" s="479"/>
    </row>
    <row r="115" ht="36" spans="1:31">
      <c r="A115" s="464">
        <v>92</v>
      </c>
      <c r="B115" s="14" t="s">
        <v>163</v>
      </c>
      <c r="C115" s="467">
        <v>761396.833333333</v>
      </c>
      <c r="D115" s="466">
        <v>12</v>
      </c>
      <c r="E115" s="467">
        <f t="shared" ref="E115:E117" si="127">C115*D115</f>
        <v>9136762</v>
      </c>
      <c r="F115" s="467">
        <f>'[6]JANUARY 2024'!$V$115*12</f>
        <v>9678.96</v>
      </c>
      <c r="G115" s="468">
        <v>577340.96</v>
      </c>
      <c r="H115" s="470"/>
      <c r="I115" s="467">
        <f t="shared" ref="I115:I117" si="128">E115-F115-G115-H115</f>
        <v>8549742.07999999</v>
      </c>
      <c r="J115" s="467">
        <v>200000</v>
      </c>
      <c r="K115" s="467">
        <v>0.2</v>
      </c>
      <c r="L115" s="467">
        <f t="shared" ref="L115:L117" si="129">I115*K115</f>
        <v>1709948.416</v>
      </c>
      <c r="M115" s="467">
        <f t="shared" ref="M115:M117" si="130">J115+L115</f>
        <v>1909948.416</v>
      </c>
      <c r="N115" s="467">
        <f t="shared" ref="N115:N117" si="131">F115+G115+H115+M115</f>
        <v>2496968.336</v>
      </c>
      <c r="O115" s="467">
        <f t="shared" ref="O115:O117" si="132">E115-N115</f>
        <v>6639793.664</v>
      </c>
      <c r="P115" s="467">
        <f t="shared" ref="P115:P117" si="133">IF(O115&lt;300000,0.07*O115,21000)</f>
        <v>21000</v>
      </c>
      <c r="Q115" s="467">
        <f t="shared" ref="Q115:Q117" si="134">IF((O115-300000)&lt;0,0,IF((O115-300000)&lt;300000,0.11*(O115-300000),33000))</f>
        <v>33000</v>
      </c>
      <c r="R115" s="467">
        <f t="shared" ref="R115:R117" si="135">IF((O115-600000)&lt;0,0,IF((O115-600000)&lt;500000,0.15*(O115-600000),75000))</f>
        <v>75000</v>
      </c>
      <c r="S115" s="467">
        <f t="shared" ref="S115:S117" si="136">IF((O115-1100000)&lt;0,0,IF((O115-1100000)&lt;500000,0.19*(O115-1100000),95000))</f>
        <v>95000</v>
      </c>
      <c r="T115" s="467">
        <f t="shared" ref="T115:T117" si="137">IF((O115-1600000)&lt;0,0,IF((O115-1600000)&lt;1600000,0.21*(O115-1600000),336000))</f>
        <v>336000</v>
      </c>
      <c r="U115" s="467">
        <f t="shared" ref="U115:U117" si="138">0.24*(O115-3200000)</f>
        <v>825550.479359999</v>
      </c>
      <c r="V115" s="467">
        <f t="shared" ref="V115:V117" si="139">P115+Q115+R115+S115+T115+U115</f>
        <v>1385550.47936</v>
      </c>
      <c r="W115" s="474">
        <v>12</v>
      </c>
      <c r="X115" s="467">
        <f t="shared" ref="X115:X117" si="140">V115/W115</f>
        <v>115462.539946667</v>
      </c>
      <c r="Y115" s="470"/>
      <c r="Z115" s="467">
        <f t="shared" ref="Z115:Z117" si="141">X115</f>
        <v>115462.539946667</v>
      </c>
      <c r="AA115" s="479">
        <v>77610.1169066667</v>
      </c>
      <c r="AB115" s="479">
        <f t="shared" ref="AB115:AB117" si="142">Z115-AA115</f>
        <v>37852.4230399999</v>
      </c>
      <c r="AC115" s="479"/>
      <c r="AD115" s="479"/>
      <c r="AE115" s="479"/>
    </row>
    <row r="116" ht="18" spans="1:31">
      <c r="A116" s="464">
        <v>93</v>
      </c>
      <c r="B116" s="11" t="s">
        <v>257</v>
      </c>
      <c r="C116" s="467">
        <v>487895.166666667</v>
      </c>
      <c r="D116" s="466">
        <v>12</v>
      </c>
      <c r="E116" s="467">
        <f t="shared" si="127"/>
        <v>5854742</v>
      </c>
      <c r="F116" s="467"/>
      <c r="G116" s="468">
        <v>362779.36</v>
      </c>
      <c r="H116" s="470"/>
      <c r="I116" s="467">
        <f t="shared" si="128"/>
        <v>5491962.64</v>
      </c>
      <c r="J116" s="467">
        <v>200000</v>
      </c>
      <c r="K116" s="467">
        <v>0.2</v>
      </c>
      <c r="L116" s="467">
        <f t="shared" si="129"/>
        <v>1098392.528</v>
      </c>
      <c r="M116" s="467">
        <f t="shared" si="130"/>
        <v>1298392.528</v>
      </c>
      <c r="N116" s="467">
        <f t="shared" si="131"/>
        <v>1661171.888</v>
      </c>
      <c r="O116" s="467">
        <f t="shared" si="132"/>
        <v>4193570.112</v>
      </c>
      <c r="P116" s="467">
        <f t="shared" si="133"/>
        <v>21000</v>
      </c>
      <c r="Q116" s="467">
        <f t="shared" si="134"/>
        <v>33000</v>
      </c>
      <c r="R116" s="467">
        <f t="shared" si="135"/>
        <v>75000</v>
      </c>
      <c r="S116" s="467">
        <f t="shared" si="136"/>
        <v>95000</v>
      </c>
      <c r="T116" s="467">
        <f t="shared" si="137"/>
        <v>336000</v>
      </c>
      <c r="U116" s="467">
        <f t="shared" si="138"/>
        <v>238456.826880001</v>
      </c>
      <c r="V116" s="467">
        <f t="shared" si="139"/>
        <v>798456.826880001</v>
      </c>
      <c r="W116" s="474">
        <v>12</v>
      </c>
      <c r="X116" s="467">
        <f t="shared" si="140"/>
        <v>66538.0689066667</v>
      </c>
      <c r="Y116" s="470"/>
      <c r="Z116" s="467">
        <f t="shared" si="141"/>
        <v>66538.0689066667</v>
      </c>
      <c r="AA116" s="479">
        <v>43368.8824146667</v>
      </c>
      <c r="AB116" s="479">
        <f t="shared" si="142"/>
        <v>23169.186492</v>
      </c>
      <c r="AC116" s="479"/>
      <c r="AD116" s="479"/>
      <c r="AE116" s="479"/>
    </row>
    <row r="117" ht="18" spans="1:31">
      <c r="A117" s="464">
        <v>94</v>
      </c>
      <c r="B117" s="11" t="s">
        <v>190</v>
      </c>
      <c r="C117" s="473">
        <v>450086.5</v>
      </c>
      <c r="D117" s="466">
        <v>12</v>
      </c>
      <c r="E117" s="467">
        <f t="shared" si="127"/>
        <v>5401038</v>
      </c>
      <c r="F117" s="467">
        <f>'[6]JANUARY 2024'!$V$117*12</f>
        <v>6919.455</v>
      </c>
      <c r="G117" s="468">
        <v>374483.04</v>
      </c>
      <c r="H117" s="470"/>
      <c r="I117" s="467">
        <f t="shared" si="128"/>
        <v>5019635.505</v>
      </c>
      <c r="J117" s="467">
        <v>200000</v>
      </c>
      <c r="K117" s="467">
        <v>0.2</v>
      </c>
      <c r="L117" s="467">
        <f t="shared" si="129"/>
        <v>1003927.101</v>
      </c>
      <c r="M117" s="467">
        <f t="shared" si="130"/>
        <v>1203927.101</v>
      </c>
      <c r="N117" s="467">
        <f t="shared" si="131"/>
        <v>1585329.596</v>
      </c>
      <c r="O117" s="467">
        <f t="shared" si="132"/>
        <v>3815708.404</v>
      </c>
      <c r="P117" s="467">
        <f t="shared" si="133"/>
        <v>21000</v>
      </c>
      <c r="Q117" s="467">
        <f t="shared" si="134"/>
        <v>33000</v>
      </c>
      <c r="R117" s="467">
        <f t="shared" si="135"/>
        <v>75000</v>
      </c>
      <c r="S117" s="467">
        <f t="shared" si="136"/>
        <v>95000</v>
      </c>
      <c r="T117" s="467">
        <f t="shared" si="137"/>
        <v>336000</v>
      </c>
      <c r="U117" s="467">
        <f t="shared" si="138"/>
        <v>147770.01696</v>
      </c>
      <c r="V117" s="467">
        <f t="shared" si="139"/>
        <v>707770.01696</v>
      </c>
      <c r="W117" s="474">
        <v>12</v>
      </c>
      <c r="X117" s="467">
        <f t="shared" si="140"/>
        <v>58980.8347466667</v>
      </c>
      <c r="Y117" s="470"/>
      <c r="Z117" s="467">
        <f t="shared" si="141"/>
        <v>58980.8347466667</v>
      </c>
      <c r="AA117" s="479">
        <v>35221.9540866667</v>
      </c>
      <c r="AB117" s="479">
        <f t="shared" si="142"/>
        <v>23758.88066</v>
      </c>
      <c r="AC117" s="479"/>
      <c r="AD117" s="479"/>
      <c r="AE117" s="479"/>
    </row>
    <row r="118" ht="17.5" spans="1:31">
      <c r="A118" s="464">
        <v>95</v>
      </c>
      <c r="B118" s="20"/>
      <c r="C118" s="467"/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7.5" spans="1:31">
      <c r="A119" s="464">
        <v>96</v>
      </c>
      <c r="B119" s="22"/>
      <c r="C119" s="467"/>
      <c r="U119" s="480"/>
      <c r="AC119" s="479"/>
      <c r="AD119" s="479"/>
      <c r="AE119" s="479"/>
    </row>
    <row r="120" ht="17.5" spans="1:31">
      <c r="A120" s="464">
        <v>97</v>
      </c>
      <c r="B120" s="20" t="s">
        <v>279</v>
      </c>
      <c r="C120" s="467"/>
      <c r="U120" s="480"/>
      <c r="AC120" s="479"/>
      <c r="AD120" s="479"/>
      <c r="AE120" s="479"/>
    </row>
    <row r="121" ht="18" spans="1:31">
      <c r="A121" s="464">
        <v>98</v>
      </c>
      <c r="B121" s="11" t="s">
        <v>280</v>
      </c>
      <c r="C121" s="467">
        <v>1635720</v>
      </c>
      <c r="D121" s="466">
        <v>12</v>
      </c>
      <c r="E121" s="467">
        <f t="shared" ref="E121:E130" si="143">C121*D121</f>
        <v>19628640</v>
      </c>
      <c r="F121" s="467">
        <f>2043.5005*12</f>
        <v>24522.006</v>
      </c>
      <c r="G121" s="468">
        <v>1378291.2</v>
      </c>
      <c r="H121" s="470"/>
      <c r="I121" s="467">
        <f t="shared" ref="I121:I130" si="144">E121-F121-G121-H121</f>
        <v>18225826.794</v>
      </c>
      <c r="J121" s="467">
        <v>200000</v>
      </c>
      <c r="K121" s="467">
        <v>0.2</v>
      </c>
      <c r="L121" s="467">
        <f t="shared" ref="L121:L130" si="145">I121*K121</f>
        <v>3645165.3588</v>
      </c>
      <c r="M121" s="467">
        <f t="shared" ref="M121:M130" si="146">J121+L121</f>
        <v>3845165.3588</v>
      </c>
      <c r="N121" s="467">
        <f t="shared" ref="N121:N130" si="147">F121+G121+H121+M121</f>
        <v>5247978.5648</v>
      </c>
      <c r="O121" s="467">
        <f t="shared" ref="O121:O130" si="148">E121-N121</f>
        <v>14380661.4352</v>
      </c>
      <c r="P121" s="467">
        <f t="shared" ref="P121:P130" si="149">IF(O121&lt;300000,0.07*O121,21000)</f>
        <v>21000</v>
      </c>
      <c r="Q121" s="467">
        <f t="shared" ref="Q121:Q130" si="150">IF((O121-300000)&lt;0,0,IF((O121-300000)&lt;300000,0.11*(O121-300000),33000))</f>
        <v>33000</v>
      </c>
      <c r="R121" s="467">
        <f t="shared" ref="R121:R130" si="151">IF((O121-600000)&lt;0,0,IF((O121-600000)&lt;500000,0.15*(O121-600000),75000))</f>
        <v>75000</v>
      </c>
      <c r="S121" s="467">
        <f t="shared" ref="S121:S130" si="152">IF((O121-1100000)&lt;0,0,IF((O121-1100000)&lt;500000,0.19*(O121-1100000),95000))</f>
        <v>95000</v>
      </c>
      <c r="T121" s="467">
        <f t="shared" ref="T121:T130" si="153">IF((O121-1600000)&lt;0,0,IF((O121-1600000)&lt;1600000,0.21*(O121-1600000),336000))</f>
        <v>336000</v>
      </c>
      <c r="U121" s="467">
        <f t="shared" ref="U121:U127" si="154">0.24*(O121-3200000)</f>
        <v>2683358.744448</v>
      </c>
      <c r="V121" s="467">
        <f t="shared" ref="V121:V130" si="155">P121+Q121+R121+S121+T121+U121</f>
        <v>3243358.744448</v>
      </c>
      <c r="W121" s="474">
        <v>12</v>
      </c>
      <c r="X121" s="467">
        <f t="shared" ref="X121:X130" si="156">V121/W121</f>
        <v>270279.895370667</v>
      </c>
      <c r="Y121" s="470"/>
      <c r="Z121" s="467">
        <f t="shared" ref="Z121:Z130" si="157">X121</f>
        <v>270279.895370667</v>
      </c>
      <c r="AA121" s="479">
        <v>179914.454762667</v>
      </c>
      <c r="AB121" s="479">
        <f t="shared" ref="AB121:AB130" si="158">Z121-AA121</f>
        <v>90365.4406079997</v>
      </c>
      <c r="AC121" s="479"/>
      <c r="AD121" s="479"/>
      <c r="AE121" s="479"/>
    </row>
    <row r="122" ht="18" spans="1:31">
      <c r="A122" s="464">
        <v>99</v>
      </c>
      <c r="B122" s="11" t="s">
        <v>282</v>
      </c>
      <c r="C122" s="467">
        <v>929203.583333333</v>
      </c>
      <c r="D122" s="466">
        <v>12</v>
      </c>
      <c r="E122" s="467">
        <f t="shared" si="143"/>
        <v>11150443</v>
      </c>
      <c r="F122" s="467">
        <f>1028.94225*12</f>
        <v>12347.307</v>
      </c>
      <c r="G122" s="468">
        <v>709635.44</v>
      </c>
      <c r="H122" s="470"/>
      <c r="I122" s="467">
        <f t="shared" si="144"/>
        <v>10428460.253</v>
      </c>
      <c r="J122" s="467">
        <v>200000</v>
      </c>
      <c r="K122" s="467">
        <v>0.2</v>
      </c>
      <c r="L122" s="467">
        <f t="shared" si="145"/>
        <v>2085692.0506</v>
      </c>
      <c r="M122" s="467">
        <f t="shared" si="146"/>
        <v>2285692.0506</v>
      </c>
      <c r="N122" s="467">
        <f t="shared" si="147"/>
        <v>3007674.7976</v>
      </c>
      <c r="O122" s="467">
        <f t="shared" si="148"/>
        <v>8142768.2024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1186264.368576</v>
      </c>
      <c r="V122" s="467">
        <f t="shared" si="155"/>
        <v>1746264.368576</v>
      </c>
      <c r="W122" s="474">
        <v>12</v>
      </c>
      <c r="X122" s="467">
        <f t="shared" si="156"/>
        <v>145522.030714667</v>
      </c>
      <c r="Y122" s="470"/>
      <c r="Z122" s="467">
        <f t="shared" si="157"/>
        <v>145522.030714667</v>
      </c>
      <c r="AA122" s="479">
        <v>98995.9569386667</v>
      </c>
      <c r="AB122" s="479">
        <f t="shared" si="158"/>
        <v>46526.0737759999</v>
      </c>
      <c r="AC122" s="479"/>
      <c r="AD122" s="479"/>
      <c r="AE122" s="479"/>
    </row>
    <row r="123" ht="18" spans="1:31">
      <c r="A123" s="464"/>
      <c r="B123" s="14" t="s">
        <v>284</v>
      </c>
      <c r="C123" s="467">
        <v>830675.583333333</v>
      </c>
      <c r="D123" s="466">
        <v>12</v>
      </c>
      <c r="E123" s="467">
        <f t="shared" si="143"/>
        <v>9968107</v>
      </c>
      <c r="F123" s="467">
        <f>837.6875*12</f>
        <v>10052.25</v>
      </c>
      <c r="G123" s="468">
        <v>595848.56</v>
      </c>
      <c r="H123" s="470"/>
      <c r="I123" s="467">
        <f t="shared" si="144"/>
        <v>9362206.19</v>
      </c>
      <c r="J123" s="467">
        <v>200000</v>
      </c>
      <c r="K123" s="467">
        <v>0.2</v>
      </c>
      <c r="L123" s="467">
        <f t="shared" si="145"/>
        <v>1872441.238</v>
      </c>
      <c r="M123" s="467">
        <f t="shared" si="146"/>
        <v>2072441.238</v>
      </c>
      <c r="N123" s="467">
        <f t="shared" si="147"/>
        <v>2678342.048</v>
      </c>
      <c r="O123" s="467">
        <f t="shared" si="148"/>
        <v>7289764.952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336000</v>
      </c>
      <c r="U123" s="467">
        <f t="shared" si="154"/>
        <v>981543.588479999</v>
      </c>
      <c r="V123" s="467">
        <f t="shared" si="155"/>
        <v>1541543.58848</v>
      </c>
      <c r="W123" s="474">
        <v>12</v>
      </c>
      <c r="X123" s="467">
        <f t="shared" si="156"/>
        <v>128461.965706667</v>
      </c>
      <c r="Y123" s="470"/>
      <c r="Z123" s="467">
        <f t="shared" si="157"/>
        <v>128461.965706667</v>
      </c>
      <c r="AA123" s="479">
        <v>89396.1031466666</v>
      </c>
      <c r="AB123" s="479">
        <f t="shared" si="158"/>
        <v>39065.86256</v>
      </c>
      <c r="AC123" s="479"/>
      <c r="AD123" s="479"/>
      <c r="AE123" s="479"/>
    </row>
    <row r="124" ht="18" spans="1:31">
      <c r="A124" s="464"/>
      <c r="B124" s="14" t="s">
        <v>855</v>
      </c>
      <c r="C124" s="467">
        <v>662118.083333333</v>
      </c>
      <c r="D124" s="466">
        <v>12</v>
      </c>
      <c r="E124" s="467">
        <f t="shared" si="143"/>
        <v>7945417</v>
      </c>
      <c r="F124" s="467"/>
      <c r="G124" s="468">
        <v>0</v>
      </c>
      <c r="H124" s="470"/>
      <c r="I124" s="467">
        <f t="shared" si="144"/>
        <v>7945417</v>
      </c>
      <c r="J124" s="467">
        <v>200000</v>
      </c>
      <c r="K124" s="467">
        <v>0.2</v>
      </c>
      <c r="L124" s="467">
        <f t="shared" si="145"/>
        <v>1589083.4</v>
      </c>
      <c r="M124" s="467">
        <f t="shared" si="146"/>
        <v>1789083.4</v>
      </c>
      <c r="N124" s="467">
        <f t="shared" si="147"/>
        <v>1789083.4</v>
      </c>
      <c r="O124" s="467">
        <f t="shared" si="148"/>
        <v>6156333.6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336000</v>
      </c>
      <c r="U124" s="467">
        <f t="shared" si="154"/>
        <v>709520.063999999</v>
      </c>
      <c r="V124" s="467">
        <f t="shared" si="155"/>
        <v>1269520.064</v>
      </c>
      <c r="W124" s="474">
        <v>12</v>
      </c>
      <c r="X124" s="467">
        <f t="shared" si="156"/>
        <v>105793.338666667</v>
      </c>
      <c r="Y124" s="470"/>
      <c r="Z124" s="467">
        <f t="shared" si="157"/>
        <v>105793.338666667</v>
      </c>
      <c r="AA124" s="479">
        <v>60214.6772906667</v>
      </c>
      <c r="AB124" s="479">
        <f t="shared" si="158"/>
        <v>45578.6613759999</v>
      </c>
      <c r="AC124" s="479"/>
      <c r="AD124" s="479"/>
      <c r="AE124" s="479"/>
    </row>
    <row r="125" ht="18" spans="1:31">
      <c r="A125" s="464">
        <v>101</v>
      </c>
      <c r="B125" s="11" t="s">
        <v>287</v>
      </c>
      <c r="C125" s="467">
        <v>540498</v>
      </c>
      <c r="D125" s="466">
        <v>12</v>
      </c>
      <c r="E125" s="467">
        <f t="shared" si="143"/>
        <v>6485976</v>
      </c>
      <c r="F125" s="467"/>
      <c r="G125" s="468">
        <v>451678.08</v>
      </c>
      <c r="H125" s="470"/>
      <c r="I125" s="467">
        <f t="shared" si="144"/>
        <v>6034297.92</v>
      </c>
      <c r="J125" s="467">
        <v>200000</v>
      </c>
      <c r="K125" s="467">
        <v>0.2</v>
      </c>
      <c r="L125" s="467">
        <f t="shared" si="145"/>
        <v>1206859.584</v>
      </c>
      <c r="M125" s="467">
        <f t="shared" si="146"/>
        <v>1406859.584</v>
      </c>
      <c r="N125" s="467">
        <f t="shared" si="147"/>
        <v>1858537.664</v>
      </c>
      <c r="O125" s="467">
        <f t="shared" si="148"/>
        <v>4627438.336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336000</v>
      </c>
      <c r="U125" s="467">
        <f t="shared" si="154"/>
        <v>342585.20064</v>
      </c>
      <c r="V125" s="467">
        <f t="shared" si="155"/>
        <v>902585.20064</v>
      </c>
      <c r="W125" s="474">
        <v>12</v>
      </c>
      <c r="X125" s="467">
        <f t="shared" si="156"/>
        <v>75215.4333866667</v>
      </c>
      <c r="Y125" s="470"/>
      <c r="Z125" s="467">
        <f t="shared" si="157"/>
        <v>75215.4333866667</v>
      </c>
      <c r="AA125" s="479">
        <v>44846.6165886667</v>
      </c>
      <c r="AB125" s="479">
        <f t="shared" si="158"/>
        <v>30368.816798</v>
      </c>
      <c r="AC125" s="479"/>
      <c r="AD125" s="479"/>
      <c r="AE125" s="479"/>
    </row>
    <row r="126" ht="18" spans="1:31">
      <c r="A126" s="464">
        <v>103</v>
      </c>
      <c r="B126" s="11" t="s">
        <v>288</v>
      </c>
      <c r="C126" s="467">
        <v>512746.5</v>
      </c>
      <c r="D126" s="466">
        <v>12</v>
      </c>
      <c r="E126" s="467">
        <f t="shared" si="143"/>
        <v>6152958</v>
      </c>
      <c r="F126" s="473">
        <f>646.3525*12</f>
        <v>7756.23</v>
      </c>
      <c r="G126" s="468">
        <v>425036.64</v>
      </c>
      <c r="H126" s="470"/>
      <c r="I126" s="467">
        <f t="shared" si="144"/>
        <v>5720165.13</v>
      </c>
      <c r="J126" s="467">
        <v>200000</v>
      </c>
      <c r="K126" s="467">
        <v>0.2</v>
      </c>
      <c r="L126" s="467">
        <f t="shared" si="145"/>
        <v>1144033.026</v>
      </c>
      <c r="M126" s="467">
        <f t="shared" si="146"/>
        <v>1344033.026</v>
      </c>
      <c r="N126" s="467">
        <f t="shared" si="147"/>
        <v>1776825.896</v>
      </c>
      <c r="O126" s="467">
        <f t="shared" si="148"/>
        <v>4376132.104</v>
      </c>
      <c r="P126" s="467">
        <f t="shared" si="149"/>
        <v>21000</v>
      </c>
      <c r="Q126" s="467">
        <f t="shared" si="150"/>
        <v>33000</v>
      </c>
      <c r="R126" s="467">
        <f t="shared" si="151"/>
        <v>75000</v>
      </c>
      <c r="S126" s="467">
        <f t="shared" si="152"/>
        <v>95000</v>
      </c>
      <c r="T126" s="467">
        <f t="shared" si="153"/>
        <v>336000</v>
      </c>
      <c r="U126" s="467">
        <f t="shared" si="154"/>
        <v>282271.70496</v>
      </c>
      <c r="V126" s="467">
        <f t="shared" si="155"/>
        <v>842271.70496</v>
      </c>
      <c r="W126" s="474">
        <v>12</v>
      </c>
      <c r="X126" s="467">
        <f t="shared" si="156"/>
        <v>70189.3087466667</v>
      </c>
      <c r="Y126" s="470"/>
      <c r="Z126" s="467">
        <f t="shared" si="157"/>
        <v>70189.3087466667</v>
      </c>
      <c r="AA126" s="479">
        <v>42029.5891866667</v>
      </c>
      <c r="AB126" s="479">
        <f t="shared" si="158"/>
        <v>28159.71956</v>
      </c>
      <c r="AC126" s="479"/>
      <c r="AD126" s="479"/>
      <c r="AE126" s="479"/>
    </row>
    <row r="127" ht="18" spans="1:31">
      <c r="A127" s="464">
        <v>105</v>
      </c>
      <c r="B127" s="11" t="s">
        <v>290</v>
      </c>
      <c r="C127" s="467">
        <v>526622.25</v>
      </c>
      <c r="D127" s="466">
        <v>12</v>
      </c>
      <c r="E127" s="467">
        <f t="shared" si="143"/>
        <v>6319467</v>
      </c>
      <c r="F127" s="473">
        <f>668.31625*12</f>
        <v>8019.795</v>
      </c>
      <c r="G127" s="468">
        <v>438357.36</v>
      </c>
      <c r="H127" s="470"/>
      <c r="I127" s="467">
        <f t="shared" si="144"/>
        <v>5873089.845</v>
      </c>
      <c r="J127" s="467">
        <v>200000</v>
      </c>
      <c r="K127" s="467">
        <v>0.2</v>
      </c>
      <c r="L127" s="467">
        <f t="shared" si="145"/>
        <v>1174617.969</v>
      </c>
      <c r="M127" s="467">
        <f t="shared" si="146"/>
        <v>1374617.969</v>
      </c>
      <c r="N127" s="467">
        <f t="shared" si="147"/>
        <v>1820995.124</v>
      </c>
      <c r="O127" s="467">
        <f t="shared" si="148"/>
        <v>4498471.876</v>
      </c>
      <c r="P127" s="467">
        <f t="shared" si="149"/>
        <v>21000</v>
      </c>
      <c r="Q127" s="467">
        <f t="shared" si="150"/>
        <v>33000</v>
      </c>
      <c r="R127" s="467">
        <f t="shared" si="151"/>
        <v>75000</v>
      </c>
      <c r="S127" s="467">
        <f t="shared" si="152"/>
        <v>95000</v>
      </c>
      <c r="T127" s="467">
        <f t="shared" si="153"/>
        <v>336000</v>
      </c>
      <c r="U127" s="467">
        <f t="shared" si="154"/>
        <v>311633.25024</v>
      </c>
      <c r="V127" s="467">
        <f t="shared" si="155"/>
        <v>871633.25024</v>
      </c>
      <c r="W127" s="474">
        <v>12</v>
      </c>
      <c r="X127" s="467">
        <f t="shared" si="156"/>
        <v>72636.1041866667</v>
      </c>
      <c r="Y127" s="470"/>
      <c r="Z127" s="467">
        <f t="shared" si="157"/>
        <v>72636.1041866667</v>
      </c>
      <c r="AA127" s="479">
        <v>43380.0962466667</v>
      </c>
      <c r="AB127" s="479">
        <f t="shared" si="158"/>
        <v>29256.00794</v>
      </c>
      <c r="AC127" s="479"/>
      <c r="AD127" s="479"/>
      <c r="AE127" s="479"/>
    </row>
    <row r="128" ht="18" spans="1:31">
      <c r="A128" s="464">
        <v>106</v>
      </c>
      <c r="B128" s="11" t="s">
        <v>293</v>
      </c>
      <c r="C128" s="467">
        <v>330481.666666667</v>
      </c>
      <c r="D128" s="466">
        <v>12</v>
      </c>
      <c r="E128" s="467">
        <f t="shared" si="143"/>
        <v>3965780</v>
      </c>
      <c r="F128" s="467"/>
      <c r="G128" s="468">
        <v>259662.4</v>
      </c>
      <c r="H128" s="470"/>
      <c r="I128" s="467">
        <f t="shared" si="144"/>
        <v>3706117.6</v>
      </c>
      <c r="J128" s="467">
        <v>200000</v>
      </c>
      <c r="K128" s="467">
        <v>0.2</v>
      </c>
      <c r="L128" s="467">
        <f t="shared" si="145"/>
        <v>741223.520000001</v>
      </c>
      <c r="M128" s="467">
        <f t="shared" si="146"/>
        <v>941223.520000001</v>
      </c>
      <c r="N128" s="467">
        <f t="shared" si="147"/>
        <v>1200885.92</v>
      </c>
      <c r="O128" s="467">
        <f t="shared" si="148"/>
        <v>2764894.08</v>
      </c>
      <c r="P128" s="467">
        <f t="shared" si="149"/>
        <v>21000</v>
      </c>
      <c r="Q128" s="467">
        <f t="shared" si="150"/>
        <v>33000</v>
      </c>
      <c r="R128" s="467">
        <f t="shared" si="151"/>
        <v>75000</v>
      </c>
      <c r="S128" s="467">
        <f t="shared" si="152"/>
        <v>95000</v>
      </c>
      <c r="T128" s="467">
        <f t="shared" si="153"/>
        <v>244627.756800001</v>
      </c>
      <c r="U128" s="467"/>
      <c r="V128" s="467">
        <f t="shared" si="155"/>
        <v>468627.756800001</v>
      </c>
      <c r="W128" s="474">
        <v>12</v>
      </c>
      <c r="X128" s="467">
        <f t="shared" si="156"/>
        <v>39052.3130666667</v>
      </c>
      <c r="Y128" s="470"/>
      <c r="Z128" s="467">
        <f t="shared" si="157"/>
        <v>39052.3130666667</v>
      </c>
      <c r="AA128" s="479">
        <v>23036.0123466667</v>
      </c>
      <c r="AB128" s="479">
        <f t="shared" si="158"/>
        <v>16016.30072</v>
      </c>
      <c r="AC128" s="479"/>
      <c r="AD128" s="479"/>
      <c r="AE128" s="479"/>
    </row>
    <row r="129" ht="18" spans="1:31">
      <c r="A129" s="464">
        <v>107</v>
      </c>
      <c r="B129" s="18" t="s">
        <v>295</v>
      </c>
      <c r="C129" s="467">
        <v>274459.75</v>
      </c>
      <c r="D129" s="466">
        <v>12</v>
      </c>
      <c r="E129" s="467">
        <f t="shared" si="143"/>
        <v>3293517</v>
      </c>
      <c r="F129" s="467"/>
      <c r="G129" s="468">
        <v>215481.36</v>
      </c>
      <c r="H129" s="470"/>
      <c r="I129" s="467">
        <f t="shared" si="144"/>
        <v>3078035.64</v>
      </c>
      <c r="J129" s="467">
        <v>200000</v>
      </c>
      <c r="K129" s="467">
        <v>0.2</v>
      </c>
      <c r="L129" s="467">
        <f t="shared" si="145"/>
        <v>615607.128</v>
      </c>
      <c r="M129" s="467">
        <f t="shared" si="146"/>
        <v>815607.128</v>
      </c>
      <c r="N129" s="467">
        <f t="shared" si="147"/>
        <v>1031088.488</v>
      </c>
      <c r="O129" s="467">
        <f t="shared" si="148"/>
        <v>2262428.512</v>
      </c>
      <c r="P129" s="467">
        <f t="shared" si="149"/>
        <v>21000</v>
      </c>
      <c r="Q129" s="467">
        <f t="shared" si="150"/>
        <v>33000</v>
      </c>
      <c r="R129" s="467">
        <f t="shared" si="151"/>
        <v>75000</v>
      </c>
      <c r="S129" s="467">
        <f t="shared" si="152"/>
        <v>95000</v>
      </c>
      <c r="T129" s="467">
        <f t="shared" si="153"/>
        <v>139109.98752</v>
      </c>
      <c r="U129" s="467"/>
      <c r="V129" s="467">
        <f t="shared" si="155"/>
        <v>363109.98752</v>
      </c>
      <c r="W129" s="474">
        <v>12</v>
      </c>
      <c r="X129" s="467">
        <f t="shared" si="156"/>
        <v>30259.1656266667</v>
      </c>
      <c r="Y129" s="470"/>
      <c r="Z129" s="467">
        <f t="shared" si="157"/>
        <v>30259.1656266667</v>
      </c>
      <c r="AA129" s="479">
        <v>17042.7138666667</v>
      </c>
      <c r="AB129" s="479">
        <f t="shared" si="158"/>
        <v>13216.45176</v>
      </c>
      <c r="AC129" s="479"/>
      <c r="AD129" s="479"/>
      <c r="AE129" s="479"/>
    </row>
    <row r="130" ht="18" spans="1:31">
      <c r="A130" s="464">
        <v>108</v>
      </c>
      <c r="B130" s="18" t="s">
        <v>297</v>
      </c>
      <c r="C130" s="467">
        <v>274459.75</v>
      </c>
      <c r="D130" s="466">
        <v>12</v>
      </c>
      <c r="E130" s="467">
        <f t="shared" si="143"/>
        <v>3293517</v>
      </c>
      <c r="F130" s="467"/>
      <c r="G130" s="468">
        <v>215481.36</v>
      </c>
      <c r="H130" s="470"/>
      <c r="I130" s="467">
        <f t="shared" si="144"/>
        <v>3078035.64</v>
      </c>
      <c r="J130" s="467">
        <v>200000</v>
      </c>
      <c r="K130" s="467">
        <v>0.2</v>
      </c>
      <c r="L130" s="467">
        <f t="shared" si="145"/>
        <v>615607.128</v>
      </c>
      <c r="M130" s="467">
        <f t="shared" si="146"/>
        <v>815607.128</v>
      </c>
      <c r="N130" s="467">
        <f t="shared" si="147"/>
        <v>1031088.488</v>
      </c>
      <c r="O130" s="467">
        <f t="shared" si="148"/>
        <v>2262428.512</v>
      </c>
      <c r="P130" s="467">
        <f t="shared" si="149"/>
        <v>21000</v>
      </c>
      <c r="Q130" s="467">
        <f t="shared" si="150"/>
        <v>33000</v>
      </c>
      <c r="R130" s="467">
        <f t="shared" si="151"/>
        <v>75000</v>
      </c>
      <c r="S130" s="467">
        <f t="shared" si="152"/>
        <v>95000</v>
      </c>
      <c r="T130" s="467">
        <f t="shared" si="153"/>
        <v>139109.98752</v>
      </c>
      <c r="U130" s="467"/>
      <c r="V130" s="467">
        <f t="shared" si="155"/>
        <v>363109.98752</v>
      </c>
      <c r="W130" s="474">
        <v>12</v>
      </c>
      <c r="X130" s="467">
        <f t="shared" si="156"/>
        <v>30259.1656266667</v>
      </c>
      <c r="Y130" s="470"/>
      <c r="Z130" s="467">
        <f t="shared" si="157"/>
        <v>30259.1656266667</v>
      </c>
      <c r="AA130" s="479">
        <v>17042.7138666667</v>
      </c>
      <c r="AB130" s="479">
        <f t="shared" si="158"/>
        <v>13216.45176</v>
      </c>
      <c r="AC130" s="479"/>
      <c r="AD130" s="479"/>
      <c r="AE130" s="479"/>
    </row>
    <row r="131" ht="17.5" spans="1:31">
      <c r="A131" s="464">
        <v>109</v>
      </c>
      <c r="B131" s="20" t="s">
        <v>120</v>
      </c>
      <c r="C131" s="467"/>
      <c r="D131" s="466"/>
      <c r="E131" s="467"/>
      <c r="F131" s="467"/>
      <c r="G131" s="470"/>
      <c r="H131" s="470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74"/>
      <c r="X131" s="467"/>
      <c r="Y131" s="470"/>
      <c r="Z131" s="467"/>
      <c r="AA131" s="479"/>
      <c r="AB131" s="479"/>
      <c r="AC131" s="479"/>
      <c r="AD131" s="479"/>
      <c r="AE131" s="479"/>
    </row>
    <row r="132" ht="17.5" spans="1:31">
      <c r="A132" s="464">
        <v>110</v>
      </c>
      <c r="B132" s="22"/>
      <c r="C132" s="467"/>
      <c r="U132" s="480"/>
      <c r="AC132" s="479"/>
      <c r="AD132" s="479"/>
      <c r="AE132" s="479"/>
    </row>
    <row r="133" ht="17.5" spans="1:31">
      <c r="A133" s="464">
        <v>111</v>
      </c>
      <c r="B133" s="20" t="s">
        <v>300</v>
      </c>
      <c r="C133" s="467"/>
      <c r="U133" s="480"/>
      <c r="AC133" s="479"/>
      <c r="AD133" s="479"/>
      <c r="AE133" s="479"/>
    </row>
    <row r="134" ht="18" spans="1:31">
      <c r="A134" s="464">
        <v>112</v>
      </c>
      <c r="B134" s="11" t="s">
        <v>856</v>
      </c>
      <c r="C134" s="467">
        <v>1535720</v>
      </c>
      <c r="D134" s="466">
        <v>12</v>
      </c>
      <c r="E134" s="467">
        <f t="shared" ref="E134:E192" si="159">C134*D134</f>
        <v>18428640</v>
      </c>
      <c r="F134" s="467"/>
      <c r="G134" s="468">
        <v>1378291.2</v>
      </c>
      <c r="H134" s="470"/>
      <c r="I134" s="467">
        <f t="shared" ref="I134:I192" si="160">E134-F134-G134-H134</f>
        <v>17050348.8</v>
      </c>
      <c r="J134" s="467">
        <v>200000</v>
      </c>
      <c r="K134" s="467">
        <v>0.2</v>
      </c>
      <c r="L134" s="467">
        <f t="shared" ref="L134:L192" si="161">I134*K134</f>
        <v>3410069.76</v>
      </c>
      <c r="M134" s="467">
        <f t="shared" ref="M134:M192" si="162">J134+L134</f>
        <v>3610069.76</v>
      </c>
      <c r="N134" s="467">
        <f t="shared" ref="N134:N192" si="163">F134+G134+H134+M134</f>
        <v>4988360.96</v>
      </c>
      <c r="O134" s="467">
        <f t="shared" ref="O134:O192" si="164">E134-N134</f>
        <v>13440279.04</v>
      </c>
      <c r="P134" s="467">
        <f t="shared" ref="P134:P192" si="165">IF(O134&lt;300000,0.07*O134,21000)</f>
        <v>21000</v>
      </c>
      <c r="Q134" s="467">
        <f t="shared" ref="Q134:Q192" si="166">IF((O134-300000)&lt;0,0,IF((O134-300000)&lt;300000,0.11*(O134-300000),33000))</f>
        <v>33000</v>
      </c>
      <c r="R134" s="467">
        <f t="shared" ref="R134:R192" si="167">IF((O134-600000)&lt;0,0,IF((O134-600000)&lt;500000,0.15*(O134-600000),75000))</f>
        <v>75000</v>
      </c>
      <c r="S134" s="467">
        <f t="shared" ref="S134:S192" si="168">IF((O134-1100000)&lt;0,0,IF((O134-1100000)&lt;500000,0.19*(O134-1100000),95000))</f>
        <v>95000</v>
      </c>
      <c r="T134" s="467">
        <f t="shared" ref="T134:T192" si="169">IF((O134-1600000)&lt;0,0,IF((O134-1600000)&lt;1600000,0.21*(O134-1600000),336000))</f>
        <v>336000</v>
      </c>
      <c r="U134" s="467">
        <f t="shared" ref="U134:U146" si="170">0.24*(O134-3200000)</f>
        <v>2457666.9696</v>
      </c>
      <c r="V134" s="467">
        <f t="shared" ref="V134:V192" si="171">P134+Q134+R134+S134+T134+U134</f>
        <v>3017666.9696</v>
      </c>
      <c r="W134" s="474">
        <v>12</v>
      </c>
      <c r="X134" s="467">
        <f t="shared" ref="X134:X192" si="172">V134/W134</f>
        <v>251472.247466667</v>
      </c>
      <c r="Y134" s="470"/>
      <c r="Z134" s="467">
        <f t="shared" ref="Z134:Z192" si="173">X134</f>
        <v>251472.247466667</v>
      </c>
      <c r="AA134" s="479">
        <v>161106.806858667</v>
      </c>
      <c r="AB134" s="479">
        <f t="shared" ref="AB134:AB192" si="174">Z134-AA134</f>
        <v>90365.4406079996</v>
      </c>
      <c r="AC134" s="479"/>
      <c r="AD134" s="479"/>
      <c r="AE134" s="479"/>
    </row>
    <row r="135" ht="18" spans="1:31">
      <c r="A135" s="464">
        <v>113</v>
      </c>
      <c r="B135" s="11" t="s">
        <v>858</v>
      </c>
      <c r="C135" s="467">
        <v>852373.166666667</v>
      </c>
      <c r="D135" s="466">
        <v>12</v>
      </c>
      <c r="E135" s="467">
        <f t="shared" si="159"/>
        <v>10228478</v>
      </c>
      <c r="F135" s="467"/>
      <c r="G135" s="468">
        <v>0</v>
      </c>
      <c r="H135" s="470"/>
      <c r="I135" s="467">
        <f t="shared" si="160"/>
        <v>10228478</v>
      </c>
      <c r="J135" s="467">
        <v>200000</v>
      </c>
      <c r="K135" s="467">
        <v>0.2</v>
      </c>
      <c r="L135" s="467">
        <f t="shared" si="161"/>
        <v>2045695.6</v>
      </c>
      <c r="M135" s="467">
        <f t="shared" si="162"/>
        <v>2245695.6</v>
      </c>
      <c r="N135" s="467">
        <f t="shared" si="163"/>
        <v>2245695.6</v>
      </c>
      <c r="O135" s="467">
        <f t="shared" si="164"/>
        <v>7982782.4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1147867.776</v>
      </c>
      <c r="V135" s="467">
        <f t="shared" si="171"/>
        <v>1707867.776</v>
      </c>
      <c r="W135" s="474">
        <v>12</v>
      </c>
      <c r="X135" s="467">
        <f t="shared" si="172"/>
        <v>142322.314666667</v>
      </c>
      <c r="Y135" s="470"/>
      <c r="Z135" s="467">
        <f t="shared" si="173"/>
        <v>142322.314666667</v>
      </c>
      <c r="AA135" s="479">
        <v>82627.9514186667</v>
      </c>
      <c r="AB135" s="479">
        <f t="shared" si="174"/>
        <v>59694.363248</v>
      </c>
      <c r="AC135" s="479"/>
      <c r="AD135" s="479"/>
      <c r="AE135" s="479"/>
    </row>
    <row r="136" ht="18" spans="1:31">
      <c r="A136" s="464">
        <v>114</v>
      </c>
      <c r="B136" s="14" t="s">
        <v>304</v>
      </c>
      <c r="C136" s="467">
        <v>902373.166666667</v>
      </c>
      <c r="D136" s="466">
        <v>12</v>
      </c>
      <c r="E136" s="467">
        <f t="shared" si="159"/>
        <v>10828478</v>
      </c>
      <c r="F136" s="467">
        <f>1066.32925*12</f>
        <v>12795.951</v>
      </c>
      <c r="G136" s="468">
        <v>731878.24</v>
      </c>
      <c r="H136" s="470"/>
      <c r="I136" s="467">
        <f t="shared" si="160"/>
        <v>10083803.809</v>
      </c>
      <c r="J136" s="467">
        <v>200000</v>
      </c>
      <c r="K136" s="467">
        <v>0.2</v>
      </c>
      <c r="L136" s="467">
        <f t="shared" si="161"/>
        <v>2016760.7618</v>
      </c>
      <c r="M136" s="467">
        <f t="shared" si="162"/>
        <v>2216760.7618</v>
      </c>
      <c r="N136" s="467">
        <f t="shared" si="163"/>
        <v>2961434.9528</v>
      </c>
      <c r="O136" s="467">
        <f t="shared" si="164"/>
        <v>7867043.0472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1120090.331328</v>
      </c>
      <c r="V136" s="467">
        <f t="shared" si="171"/>
        <v>1680090.331328</v>
      </c>
      <c r="W136" s="474">
        <v>12</v>
      </c>
      <c r="X136" s="467">
        <f t="shared" si="172"/>
        <v>140007.527610667</v>
      </c>
      <c r="Y136" s="470"/>
      <c r="Z136" s="467">
        <f t="shared" si="173"/>
        <v>140007.527610667</v>
      </c>
      <c r="AA136" s="479">
        <v>92023.2162026667</v>
      </c>
      <c r="AB136" s="479">
        <f t="shared" si="174"/>
        <v>47984.311408</v>
      </c>
      <c r="AC136" s="479"/>
      <c r="AD136" s="479"/>
      <c r="AE136" s="479"/>
    </row>
    <row r="137" ht="18" spans="1:31">
      <c r="A137" s="464">
        <v>115</v>
      </c>
      <c r="B137" s="11" t="s">
        <v>306</v>
      </c>
      <c r="C137" s="467">
        <v>554373.75</v>
      </c>
      <c r="D137" s="466">
        <v>12</v>
      </c>
      <c r="E137" s="467">
        <f t="shared" si="159"/>
        <v>6652485</v>
      </c>
      <c r="F137" s="467">
        <f t="shared" ref="F137:F139" si="175">712.24525*12</f>
        <v>8546.943</v>
      </c>
      <c r="G137" s="468">
        <v>464998.8</v>
      </c>
      <c r="H137" s="470"/>
      <c r="I137" s="467">
        <f t="shared" si="160"/>
        <v>6178939.257</v>
      </c>
      <c r="J137" s="467">
        <v>200000</v>
      </c>
      <c r="K137" s="467">
        <v>0.2</v>
      </c>
      <c r="L137" s="467">
        <f t="shared" si="161"/>
        <v>1235787.8514</v>
      </c>
      <c r="M137" s="467">
        <f t="shared" si="162"/>
        <v>1435787.8514</v>
      </c>
      <c r="N137" s="467">
        <f t="shared" si="163"/>
        <v>1909333.5944</v>
      </c>
      <c r="O137" s="467">
        <f t="shared" si="164"/>
        <v>4743151.4056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370356.337344</v>
      </c>
      <c r="V137" s="467">
        <f t="shared" si="171"/>
        <v>930356.337344</v>
      </c>
      <c r="W137" s="474">
        <v>12</v>
      </c>
      <c r="X137" s="467">
        <f t="shared" si="172"/>
        <v>77529.6947786667</v>
      </c>
      <c r="Y137" s="470"/>
      <c r="Z137" s="467">
        <f t="shared" si="173"/>
        <v>77529.6947786667</v>
      </c>
      <c r="AA137" s="479">
        <v>46081.2025986667</v>
      </c>
      <c r="AB137" s="479">
        <f t="shared" si="174"/>
        <v>31448.49218</v>
      </c>
      <c r="AC137" s="479"/>
      <c r="AD137" s="479"/>
      <c r="AE137" s="479"/>
    </row>
    <row r="138" ht="18" spans="1:31">
      <c r="A138" s="464">
        <v>116</v>
      </c>
      <c r="B138" s="11" t="s">
        <v>308</v>
      </c>
      <c r="C138" s="467">
        <v>554373.75</v>
      </c>
      <c r="D138" s="466">
        <v>12</v>
      </c>
      <c r="E138" s="467">
        <f t="shared" si="159"/>
        <v>6652485</v>
      </c>
      <c r="F138" s="467">
        <f t="shared" si="175"/>
        <v>8546.943</v>
      </c>
      <c r="G138" s="468">
        <v>464998.8</v>
      </c>
      <c r="H138" s="470"/>
      <c r="I138" s="467">
        <f t="shared" si="160"/>
        <v>6178939.257</v>
      </c>
      <c r="J138" s="467">
        <v>200000</v>
      </c>
      <c r="K138" s="467">
        <v>0.2</v>
      </c>
      <c r="L138" s="467">
        <f t="shared" si="161"/>
        <v>1235787.8514</v>
      </c>
      <c r="M138" s="467">
        <f t="shared" si="162"/>
        <v>1435787.8514</v>
      </c>
      <c r="N138" s="467">
        <f t="shared" si="163"/>
        <v>1909333.5944</v>
      </c>
      <c r="O138" s="467">
        <f t="shared" si="164"/>
        <v>4743151.4056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370356.337344</v>
      </c>
      <c r="V138" s="467">
        <f t="shared" si="171"/>
        <v>930356.337344</v>
      </c>
      <c r="W138" s="474">
        <v>12</v>
      </c>
      <c r="X138" s="467">
        <f t="shared" si="172"/>
        <v>77529.6947786667</v>
      </c>
      <c r="Y138" s="470"/>
      <c r="Z138" s="467">
        <f t="shared" si="173"/>
        <v>77529.6947786667</v>
      </c>
      <c r="AA138" s="479">
        <v>46081.2025986667</v>
      </c>
      <c r="AB138" s="479">
        <f t="shared" si="174"/>
        <v>31448.49218</v>
      </c>
      <c r="AC138" s="479"/>
      <c r="AD138" s="479"/>
      <c r="AE138" s="479"/>
    </row>
    <row r="139" ht="18" spans="1:31">
      <c r="A139" s="464">
        <v>117</v>
      </c>
      <c r="B139" s="11" t="s">
        <v>310</v>
      </c>
      <c r="C139" s="467">
        <v>554373.75</v>
      </c>
      <c r="D139" s="466">
        <v>12</v>
      </c>
      <c r="E139" s="467">
        <f t="shared" si="159"/>
        <v>6652485</v>
      </c>
      <c r="F139" s="467">
        <f t="shared" si="175"/>
        <v>8546.943</v>
      </c>
      <c r="G139" s="468">
        <v>464998.8</v>
      </c>
      <c r="H139" s="470"/>
      <c r="I139" s="467">
        <f t="shared" si="160"/>
        <v>6178939.257</v>
      </c>
      <c r="J139" s="467">
        <v>200000</v>
      </c>
      <c r="K139" s="467">
        <v>0.2</v>
      </c>
      <c r="L139" s="467">
        <f t="shared" si="161"/>
        <v>1235787.8514</v>
      </c>
      <c r="M139" s="467">
        <f t="shared" si="162"/>
        <v>1435787.8514</v>
      </c>
      <c r="N139" s="467">
        <f t="shared" si="163"/>
        <v>1909333.5944</v>
      </c>
      <c r="O139" s="467">
        <f t="shared" si="164"/>
        <v>4743151.4056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370356.337344</v>
      </c>
      <c r="V139" s="467">
        <f t="shared" si="171"/>
        <v>930356.337344</v>
      </c>
      <c r="W139" s="474">
        <v>12</v>
      </c>
      <c r="X139" s="467">
        <f t="shared" si="172"/>
        <v>77529.6947786667</v>
      </c>
      <c r="Y139" s="470"/>
      <c r="Z139" s="467">
        <f t="shared" si="173"/>
        <v>77529.6947786667</v>
      </c>
      <c r="AA139" s="479">
        <v>46081.2025986667</v>
      </c>
      <c r="AB139" s="479">
        <f t="shared" si="174"/>
        <v>31448.49218</v>
      </c>
      <c r="AC139" s="479"/>
      <c r="AD139" s="479"/>
      <c r="AE139" s="479"/>
    </row>
    <row r="140" ht="18" spans="1:31">
      <c r="A140" s="464">
        <v>118</v>
      </c>
      <c r="B140" s="11" t="s">
        <v>229</v>
      </c>
      <c r="C140" s="467">
        <v>450086.5</v>
      </c>
      <c r="D140" s="466">
        <v>12</v>
      </c>
      <c r="E140" s="467">
        <f t="shared" si="159"/>
        <v>5401038</v>
      </c>
      <c r="F140" s="467">
        <f>576.62125*12</f>
        <v>6919.455</v>
      </c>
      <c r="G140" s="468">
        <v>374483.04</v>
      </c>
      <c r="H140" s="470"/>
      <c r="I140" s="467">
        <f t="shared" si="160"/>
        <v>5019635.505</v>
      </c>
      <c r="J140" s="467">
        <v>200000</v>
      </c>
      <c r="K140" s="467">
        <v>0.2</v>
      </c>
      <c r="L140" s="467">
        <f t="shared" si="161"/>
        <v>1003927.101</v>
      </c>
      <c r="M140" s="467">
        <f t="shared" si="162"/>
        <v>1203927.101</v>
      </c>
      <c r="N140" s="467">
        <f t="shared" si="163"/>
        <v>1585329.596</v>
      </c>
      <c r="O140" s="467">
        <f t="shared" si="164"/>
        <v>3815708.404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147770.01696</v>
      </c>
      <c r="V140" s="467">
        <f t="shared" si="171"/>
        <v>707770.01696</v>
      </c>
      <c r="W140" s="474">
        <v>12</v>
      </c>
      <c r="X140" s="467">
        <f t="shared" si="172"/>
        <v>58980.8347466667</v>
      </c>
      <c r="Y140" s="470"/>
      <c r="Z140" s="467">
        <f t="shared" si="173"/>
        <v>58980.8347466667</v>
      </c>
      <c r="AA140" s="479">
        <v>35221.9540866667</v>
      </c>
      <c r="AB140" s="479">
        <f t="shared" si="174"/>
        <v>23758.88066</v>
      </c>
      <c r="AC140" s="479"/>
      <c r="AD140" s="479"/>
      <c r="AE140" s="479"/>
    </row>
    <row r="141" ht="18" spans="1:31">
      <c r="A141" s="464">
        <v>119</v>
      </c>
      <c r="B141" s="11" t="s">
        <v>313</v>
      </c>
      <c r="C141" s="467">
        <v>450086.5</v>
      </c>
      <c r="D141" s="466">
        <v>12</v>
      </c>
      <c r="E141" s="467">
        <f t="shared" si="159"/>
        <v>5401038</v>
      </c>
      <c r="F141" s="467"/>
      <c r="G141" s="468">
        <v>374483.04</v>
      </c>
      <c r="H141" s="470"/>
      <c r="I141" s="467">
        <f t="shared" si="160"/>
        <v>5026554.96</v>
      </c>
      <c r="J141" s="467">
        <v>200000</v>
      </c>
      <c r="K141" s="467">
        <v>0.2</v>
      </c>
      <c r="L141" s="467">
        <f t="shared" si="161"/>
        <v>1005310.992</v>
      </c>
      <c r="M141" s="467">
        <f t="shared" si="162"/>
        <v>1205310.992</v>
      </c>
      <c r="N141" s="467">
        <f t="shared" si="163"/>
        <v>1579794.032</v>
      </c>
      <c r="O141" s="467">
        <f t="shared" si="164"/>
        <v>3821243.968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149098.55232</v>
      </c>
      <c r="V141" s="467">
        <f t="shared" si="171"/>
        <v>709098.55232</v>
      </c>
      <c r="W141" s="474">
        <v>12</v>
      </c>
      <c r="X141" s="467">
        <f t="shared" si="172"/>
        <v>59091.5460266667</v>
      </c>
      <c r="Y141" s="470"/>
      <c r="Z141" s="467">
        <f t="shared" si="173"/>
        <v>59091.5460266667</v>
      </c>
      <c r="AA141" s="479">
        <v>35318.8264566667</v>
      </c>
      <c r="AB141" s="479">
        <f t="shared" si="174"/>
        <v>23772.71957</v>
      </c>
      <c r="AC141" s="479"/>
      <c r="AD141" s="479"/>
      <c r="AE141" s="479"/>
    </row>
    <row r="142" ht="18" spans="1:31">
      <c r="A142" s="464">
        <v>120</v>
      </c>
      <c r="B142" s="11" t="s">
        <v>314</v>
      </c>
      <c r="C142" s="467">
        <v>450086.5</v>
      </c>
      <c r="D142" s="466">
        <v>12</v>
      </c>
      <c r="E142" s="467">
        <f t="shared" si="159"/>
        <v>5401038</v>
      </c>
      <c r="F142" s="467"/>
      <c r="G142" s="468">
        <v>374483.04</v>
      </c>
      <c r="H142" s="470"/>
      <c r="I142" s="467">
        <f t="shared" si="160"/>
        <v>5026554.96</v>
      </c>
      <c r="J142" s="467">
        <v>200000</v>
      </c>
      <c r="K142" s="467">
        <v>0.2</v>
      </c>
      <c r="L142" s="467">
        <f t="shared" si="161"/>
        <v>1005310.992</v>
      </c>
      <c r="M142" s="467">
        <f t="shared" si="162"/>
        <v>1205310.992</v>
      </c>
      <c r="N142" s="467">
        <f t="shared" si="163"/>
        <v>1579794.032</v>
      </c>
      <c r="O142" s="467">
        <f t="shared" si="164"/>
        <v>3821243.968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336000</v>
      </c>
      <c r="U142" s="467">
        <f t="shared" si="170"/>
        <v>149098.55232</v>
      </c>
      <c r="V142" s="467">
        <f t="shared" si="171"/>
        <v>709098.55232</v>
      </c>
      <c r="W142" s="474">
        <v>12</v>
      </c>
      <c r="X142" s="467">
        <f t="shared" si="172"/>
        <v>59091.5460266667</v>
      </c>
      <c r="Y142" s="470"/>
      <c r="Z142" s="467">
        <f t="shared" si="173"/>
        <v>59091.5460266667</v>
      </c>
      <c r="AA142" s="479">
        <v>35318.8264566667</v>
      </c>
      <c r="AB142" s="479">
        <f t="shared" si="174"/>
        <v>23772.71957</v>
      </c>
      <c r="AC142" s="479"/>
      <c r="AD142" s="479"/>
      <c r="AE142" s="479"/>
    </row>
    <row r="143" ht="18" spans="1:31">
      <c r="A143" s="464">
        <v>121</v>
      </c>
      <c r="B143" s="11" t="s">
        <v>316</v>
      </c>
      <c r="C143" s="467">
        <v>437895.166666667</v>
      </c>
      <c r="D143" s="466">
        <v>12</v>
      </c>
      <c r="E143" s="467">
        <f t="shared" si="159"/>
        <v>5254742</v>
      </c>
      <c r="F143" s="467"/>
      <c r="G143" s="468">
        <v>362779.36</v>
      </c>
      <c r="H143" s="470"/>
      <c r="I143" s="467">
        <f t="shared" si="160"/>
        <v>4891962.64</v>
      </c>
      <c r="J143" s="467">
        <v>200000</v>
      </c>
      <c r="K143" s="467">
        <v>0.2</v>
      </c>
      <c r="L143" s="467">
        <f t="shared" si="161"/>
        <v>978392.528000001</v>
      </c>
      <c r="M143" s="467">
        <f t="shared" si="162"/>
        <v>1178392.528</v>
      </c>
      <c r="N143" s="467">
        <f t="shared" si="163"/>
        <v>1541171.888</v>
      </c>
      <c r="O143" s="467">
        <f t="shared" si="164"/>
        <v>3713570.112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336000</v>
      </c>
      <c r="U143" s="467">
        <f t="shared" si="170"/>
        <v>123256.826880001</v>
      </c>
      <c r="V143" s="467">
        <f t="shared" si="171"/>
        <v>683256.826880001</v>
      </c>
      <c r="W143" s="474">
        <v>12</v>
      </c>
      <c r="X143" s="467">
        <f t="shared" si="172"/>
        <v>56938.0689066667</v>
      </c>
      <c r="Y143" s="470"/>
      <c r="Z143" s="467">
        <f t="shared" si="173"/>
        <v>56938.0689066667</v>
      </c>
      <c r="AA143" s="479">
        <v>34968.8824146667</v>
      </c>
      <c r="AB143" s="479">
        <f t="shared" si="174"/>
        <v>21969.186492</v>
      </c>
      <c r="AC143" s="479"/>
      <c r="AD143" s="479"/>
      <c r="AE143" s="479"/>
    </row>
    <row r="144" ht="18" spans="1:31">
      <c r="A144" s="464">
        <v>122</v>
      </c>
      <c r="B144" s="11" t="s">
        <v>318</v>
      </c>
      <c r="C144" s="467">
        <v>425703.833333333</v>
      </c>
      <c r="D144" s="466">
        <v>12</v>
      </c>
      <c r="E144" s="467">
        <f t="shared" si="159"/>
        <v>5108446</v>
      </c>
      <c r="F144" s="467">
        <f>538.022*12</f>
        <v>6456.264</v>
      </c>
      <c r="G144" s="468">
        <v>351075.68</v>
      </c>
      <c r="H144" s="470"/>
      <c r="I144" s="467">
        <f t="shared" si="160"/>
        <v>4750914.056</v>
      </c>
      <c r="J144" s="467">
        <v>200000</v>
      </c>
      <c r="K144" s="467">
        <v>0.2</v>
      </c>
      <c r="L144" s="467">
        <f t="shared" si="161"/>
        <v>950182.811199999</v>
      </c>
      <c r="M144" s="467">
        <f t="shared" si="162"/>
        <v>1150182.8112</v>
      </c>
      <c r="N144" s="467">
        <f t="shared" si="163"/>
        <v>1507714.7552</v>
      </c>
      <c r="O144" s="467">
        <f t="shared" si="164"/>
        <v>3600731.2448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336000</v>
      </c>
      <c r="U144" s="467">
        <f t="shared" si="170"/>
        <v>96175.4987519992</v>
      </c>
      <c r="V144" s="467">
        <f t="shared" si="171"/>
        <v>656175.498751999</v>
      </c>
      <c r="W144" s="474">
        <v>12</v>
      </c>
      <c r="X144" s="467">
        <f t="shared" si="172"/>
        <v>54681.2915626666</v>
      </c>
      <c r="Y144" s="470"/>
      <c r="Z144" s="467">
        <f t="shared" si="173"/>
        <v>54681.2915626666</v>
      </c>
      <c r="AA144" s="479">
        <v>32848.5634026667</v>
      </c>
      <c r="AB144" s="479">
        <f t="shared" si="174"/>
        <v>21832.7281599999</v>
      </c>
      <c r="AC144" s="479"/>
      <c r="AD144" s="479"/>
      <c r="AE144" s="479"/>
    </row>
    <row r="145" ht="18" spans="1:31">
      <c r="A145" s="464">
        <v>123</v>
      </c>
      <c r="B145" s="11" t="s">
        <v>61</v>
      </c>
      <c r="C145" s="467">
        <v>450086.5</v>
      </c>
      <c r="D145" s="466">
        <v>12</v>
      </c>
      <c r="E145" s="467">
        <f t="shared" si="159"/>
        <v>5401038</v>
      </c>
      <c r="F145" s="467">
        <f>576.62125*12</f>
        <v>6919.455</v>
      </c>
      <c r="G145" s="468">
        <v>374483.04</v>
      </c>
      <c r="H145" s="470"/>
      <c r="I145" s="467">
        <f t="shared" si="160"/>
        <v>5019635.505</v>
      </c>
      <c r="J145" s="467">
        <v>200000</v>
      </c>
      <c r="K145" s="467">
        <v>0.2</v>
      </c>
      <c r="L145" s="467">
        <f t="shared" si="161"/>
        <v>1003927.101</v>
      </c>
      <c r="M145" s="467">
        <f t="shared" si="162"/>
        <v>1203927.101</v>
      </c>
      <c r="N145" s="467">
        <f t="shared" si="163"/>
        <v>1585329.596</v>
      </c>
      <c r="O145" s="467">
        <f t="shared" si="164"/>
        <v>3815708.404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336000</v>
      </c>
      <c r="U145" s="467">
        <f t="shared" si="170"/>
        <v>147770.01696</v>
      </c>
      <c r="V145" s="467">
        <f t="shared" si="171"/>
        <v>707770.01696</v>
      </c>
      <c r="W145" s="474">
        <v>12</v>
      </c>
      <c r="X145" s="467">
        <f t="shared" si="172"/>
        <v>58980.8347466667</v>
      </c>
      <c r="Y145" s="470"/>
      <c r="Z145" s="467">
        <f t="shared" si="173"/>
        <v>58980.8347466667</v>
      </c>
      <c r="AA145" s="479">
        <v>35221.9540866667</v>
      </c>
      <c r="AB145" s="479">
        <f t="shared" si="174"/>
        <v>23758.88066</v>
      </c>
      <c r="AC145" s="479"/>
      <c r="AD145" s="479"/>
      <c r="AE145" s="479"/>
    </row>
    <row r="146" ht="18" spans="1:31">
      <c r="A146" s="464">
        <v>124</v>
      </c>
      <c r="B146" s="18" t="s">
        <v>320</v>
      </c>
      <c r="C146" s="467">
        <v>413512.5</v>
      </c>
      <c r="D146" s="466">
        <v>12</v>
      </c>
      <c r="E146" s="467">
        <f t="shared" si="159"/>
        <v>4962150</v>
      </c>
      <c r="F146" s="467">
        <v>0</v>
      </c>
      <c r="G146" s="468">
        <v>339372</v>
      </c>
      <c r="H146" s="470"/>
      <c r="I146" s="467">
        <f t="shared" si="160"/>
        <v>4622778</v>
      </c>
      <c r="J146" s="467">
        <v>200000</v>
      </c>
      <c r="K146" s="467">
        <v>0.2</v>
      </c>
      <c r="L146" s="467">
        <f t="shared" si="161"/>
        <v>924555.6</v>
      </c>
      <c r="M146" s="467">
        <f t="shared" si="162"/>
        <v>1124555.6</v>
      </c>
      <c r="N146" s="467">
        <f t="shared" si="163"/>
        <v>1463927.6</v>
      </c>
      <c r="O146" s="467">
        <f t="shared" si="164"/>
        <v>3498222.4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336000</v>
      </c>
      <c r="U146" s="467">
        <f t="shared" si="170"/>
        <v>71573.376</v>
      </c>
      <c r="V146" s="467">
        <f t="shared" si="171"/>
        <v>631573.376</v>
      </c>
      <c r="W146" s="474">
        <v>12</v>
      </c>
      <c r="X146" s="467">
        <f t="shared" si="172"/>
        <v>52631.1146666667</v>
      </c>
      <c r="Y146" s="470"/>
      <c r="Z146" s="467">
        <f t="shared" si="173"/>
        <v>52631.1146666667</v>
      </c>
      <c r="AA146" s="479">
        <v>31749.1752666667</v>
      </c>
      <c r="AB146" s="479">
        <f t="shared" si="174"/>
        <v>20881.9394</v>
      </c>
      <c r="AC146" s="479"/>
      <c r="AD146" s="479"/>
      <c r="AE146" s="479"/>
    </row>
    <row r="147" ht="18" spans="1:31">
      <c r="A147" s="464">
        <v>125</v>
      </c>
      <c r="B147" s="11" t="s">
        <v>322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126</v>
      </c>
      <c r="B148" s="11" t="s">
        <v>323</v>
      </c>
      <c r="C148" s="467">
        <v>376837.416666667</v>
      </c>
      <c r="D148" s="466">
        <v>12</v>
      </c>
      <c r="E148" s="467">
        <f t="shared" si="159"/>
        <v>4522049</v>
      </c>
      <c r="F148" s="467">
        <f>469.4825*12</f>
        <v>5633.79</v>
      </c>
      <c r="G148" s="468">
        <v>304163.92</v>
      </c>
      <c r="H148" s="470"/>
      <c r="I148" s="467">
        <f t="shared" si="160"/>
        <v>4212251.29</v>
      </c>
      <c r="J148" s="467">
        <v>200000</v>
      </c>
      <c r="K148" s="467">
        <v>0.2</v>
      </c>
      <c r="L148" s="467">
        <f t="shared" si="161"/>
        <v>842450.258000001</v>
      </c>
      <c r="M148" s="467">
        <f t="shared" si="162"/>
        <v>1042450.258</v>
      </c>
      <c r="N148" s="467">
        <f t="shared" si="163"/>
        <v>1352247.968</v>
      </c>
      <c r="O148" s="467">
        <f t="shared" si="164"/>
        <v>3169801.032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329658.216720001</v>
      </c>
      <c r="U148" s="467"/>
      <c r="V148" s="467">
        <f t="shared" si="171"/>
        <v>553658.216720001</v>
      </c>
      <c r="W148" s="474">
        <v>12</v>
      </c>
      <c r="X148" s="467">
        <f t="shared" si="172"/>
        <v>46138.1847266667</v>
      </c>
      <c r="Y148" s="470"/>
      <c r="Z148" s="467">
        <f t="shared" si="173"/>
        <v>46138.1847266667</v>
      </c>
      <c r="AA148" s="479">
        <v>27794.2066266667</v>
      </c>
      <c r="AB148" s="479">
        <f t="shared" si="174"/>
        <v>18343.9781</v>
      </c>
      <c r="AC148" s="479"/>
      <c r="AD148" s="479"/>
      <c r="AE148" s="479"/>
    </row>
    <row r="149" ht="18" spans="1:31">
      <c r="A149" s="464">
        <v>127</v>
      </c>
      <c r="B149" s="11" t="s">
        <v>325</v>
      </c>
      <c r="C149" s="467">
        <v>376837.416666667</v>
      </c>
      <c r="D149" s="466">
        <v>12</v>
      </c>
      <c r="E149" s="467">
        <f t="shared" si="159"/>
        <v>4522049</v>
      </c>
      <c r="F149" s="467"/>
      <c r="G149" s="468">
        <v>304163.92</v>
      </c>
      <c r="H149" s="470"/>
      <c r="I149" s="467">
        <f t="shared" si="160"/>
        <v>4217885.08</v>
      </c>
      <c r="J149" s="467">
        <v>200000</v>
      </c>
      <c r="K149" s="467">
        <v>0.2</v>
      </c>
      <c r="L149" s="467">
        <f t="shared" si="161"/>
        <v>843577.016000001</v>
      </c>
      <c r="M149" s="467">
        <f t="shared" si="162"/>
        <v>1043577.016</v>
      </c>
      <c r="N149" s="467">
        <f t="shared" si="163"/>
        <v>1347740.936</v>
      </c>
      <c r="O149" s="467">
        <f t="shared" si="164"/>
        <v>3174308.064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330604.693440001</v>
      </c>
      <c r="U149" s="467"/>
      <c r="V149" s="467">
        <f t="shared" si="171"/>
        <v>554604.693440001</v>
      </c>
      <c r="W149" s="474">
        <v>12</v>
      </c>
      <c r="X149" s="467">
        <f t="shared" si="172"/>
        <v>46217.0577866667</v>
      </c>
      <c r="Y149" s="470"/>
      <c r="Z149" s="467">
        <f t="shared" si="173"/>
        <v>46217.0577866667</v>
      </c>
      <c r="AA149" s="479">
        <v>27873.0796866667</v>
      </c>
      <c r="AB149" s="479">
        <f t="shared" si="174"/>
        <v>18343.9781</v>
      </c>
      <c r="AC149" s="479"/>
      <c r="AD149" s="479"/>
      <c r="AE149" s="479"/>
    </row>
    <row r="150" ht="18" spans="1:31">
      <c r="A150" s="464">
        <v>128</v>
      </c>
      <c r="B150" s="11" t="s">
        <v>326</v>
      </c>
      <c r="C150" s="467">
        <v>360965.583333333</v>
      </c>
      <c r="D150" s="466">
        <v>12</v>
      </c>
      <c r="E150" s="467">
        <f t="shared" si="159"/>
        <v>4331587</v>
      </c>
      <c r="F150" s="467"/>
      <c r="G150" s="468">
        <v>288926.96</v>
      </c>
      <c r="H150" s="470"/>
      <c r="I150" s="467">
        <f t="shared" si="160"/>
        <v>4042660.04</v>
      </c>
      <c r="J150" s="467">
        <v>200000</v>
      </c>
      <c r="K150" s="467">
        <v>0.2</v>
      </c>
      <c r="L150" s="467">
        <f t="shared" si="161"/>
        <v>808532.007999999</v>
      </c>
      <c r="M150" s="467">
        <f t="shared" si="162"/>
        <v>1008532.008</v>
      </c>
      <c r="N150" s="467">
        <f t="shared" si="163"/>
        <v>1297458.968</v>
      </c>
      <c r="O150" s="467">
        <f t="shared" si="164"/>
        <v>3034128.032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301166.886719999</v>
      </c>
      <c r="U150" s="467"/>
      <c r="V150" s="467">
        <f t="shared" si="171"/>
        <v>525166.886719999</v>
      </c>
      <c r="W150" s="474">
        <v>12</v>
      </c>
      <c r="X150" s="467">
        <f t="shared" si="172"/>
        <v>43763.9072266666</v>
      </c>
      <c r="Y150" s="470"/>
      <c r="Z150" s="467">
        <f t="shared" si="173"/>
        <v>43763.9072266666</v>
      </c>
      <c r="AA150" s="479">
        <v>27105.9865626667</v>
      </c>
      <c r="AB150" s="479">
        <f t="shared" si="174"/>
        <v>16657.9206639999</v>
      </c>
      <c r="AC150" s="479"/>
      <c r="AD150" s="479"/>
      <c r="AE150" s="479"/>
    </row>
    <row r="151" ht="36" spans="1:31">
      <c r="A151" s="464">
        <v>129</v>
      </c>
      <c r="B151" s="11" t="s">
        <v>328</v>
      </c>
      <c r="C151" s="467">
        <v>323165.333333333</v>
      </c>
      <c r="D151" s="466">
        <v>12</v>
      </c>
      <c r="E151" s="467">
        <f t="shared" si="159"/>
        <v>3877984</v>
      </c>
      <c r="F151" s="467"/>
      <c r="G151" s="468">
        <v>252638.72</v>
      </c>
      <c r="H151" s="470"/>
      <c r="I151" s="467">
        <f t="shared" si="160"/>
        <v>3625345.28</v>
      </c>
      <c r="J151" s="467">
        <v>200000</v>
      </c>
      <c r="K151" s="467">
        <v>0.2</v>
      </c>
      <c r="L151" s="467">
        <f t="shared" si="161"/>
        <v>725069.055999999</v>
      </c>
      <c r="M151" s="467">
        <f t="shared" si="162"/>
        <v>925069.055999999</v>
      </c>
      <c r="N151" s="467">
        <f t="shared" si="163"/>
        <v>1177707.776</v>
      </c>
      <c r="O151" s="467">
        <f t="shared" si="164"/>
        <v>2700276.224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231058.007039999</v>
      </c>
      <c r="U151" s="467"/>
      <c r="V151" s="467">
        <f t="shared" si="171"/>
        <v>455058.007039999</v>
      </c>
      <c r="W151" s="474">
        <v>12</v>
      </c>
      <c r="X151" s="467">
        <f t="shared" si="172"/>
        <v>37921.5005866666</v>
      </c>
      <c r="Y151" s="470"/>
      <c r="Z151" s="467">
        <f t="shared" si="173"/>
        <v>37921.5005866666</v>
      </c>
      <c r="AA151" s="479">
        <v>22338.4826046667</v>
      </c>
      <c r="AB151" s="479">
        <f t="shared" si="174"/>
        <v>15583.0179819999</v>
      </c>
      <c r="AC151" s="479"/>
      <c r="AD151" s="479"/>
      <c r="AE151" s="479"/>
    </row>
    <row r="152" ht="18" spans="1:31">
      <c r="A152" s="464">
        <v>130</v>
      </c>
      <c r="B152" s="11" t="s">
        <v>330</v>
      </c>
      <c r="C152" s="467">
        <v>368901.5</v>
      </c>
      <c r="D152" s="466">
        <v>12</v>
      </c>
      <c r="E152" s="467">
        <f t="shared" si="159"/>
        <v>4426818</v>
      </c>
      <c r="F152" s="467"/>
      <c r="G152" s="468">
        <v>296545.44</v>
      </c>
      <c r="H152" s="470"/>
      <c r="I152" s="467">
        <f t="shared" si="160"/>
        <v>4130272.56</v>
      </c>
      <c r="J152" s="467">
        <v>200000</v>
      </c>
      <c r="K152" s="467">
        <v>0.2</v>
      </c>
      <c r="L152" s="467">
        <f t="shared" si="161"/>
        <v>826054.512</v>
      </c>
      <c r="M152" s="467">
        <f t="shared" si="162"/>
        <v>1026054.512</v>
      </c>
      <c r="N152" s="467">
        <f t="shared" si="163"/>
        <v>1322599.952</v>
      </c>
      <c r="O152" s="467">
        <f t="shared" si="164"/>
        <v>3104218.048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315885.79008</v>
      </c>
      <c r="U152" s="467"/>
      <c r="V152" s="467">
        <f t="shared" si="171"/>
        <v>539885.79008</v>
      </c>
      <c r="W152" s="474">
        <v>12</v>
      </c>
      <c r="X152" s="467">
        <f t="shared" si="172"/>
        <v>44990.4825066667</v>
      </c>
      <c r="Y152" s="470"/>
      <c r="Z152" s="467">
        <f t="shared" si="173"/>
        <v>44990.4825066667</v>
      </c>
      <c r="AA152" s="479">
        <v>27105.9865626667</v>
      </c>
      <c r="AB152" s="479">
        <f t="shared" si="174"/>
        <v>17884.495944</v>
      </c>
      <c r="AC152" s="479"/>
      <c r="AD152" s="479"/>
      <c r="AE152" s="479"/>
    </row>
    <row r="153" ht="18" spans="1:31">
      <c r="A153" s="464">
        <v>131</v>
      </c>
      <c r="B153" s="11" t="s">
        <v>332</v>
      </c>
      <c r="C153" s="467">
        <v>330481.666666667</v>
      </c>
      <c r="D153" s="466">
        <v>12</v>
      </c>
      <c r="E153" s="467">
        <f t="shared" si="159"/>
        <v>3965780</v>
      </c>
      <c r="F153" s="467"/>
      <c r="G153" s="468">
        <v>259662.4</v>
      </c>
      <c r="H153" s="470"/>
      <c r="I153" s="467">
        <f t="shared" si="160"/>
        <v>3706117.6</v>
      </c>
      <c r="J153" s="467">
        <v>200000</v>
      </c>
      <c r="K153" s="467">
        <v>0.2</v>
      </c>
      <c r="L153" s="467">
        <f t="shared" si="161"/>
        <v>741223.520000001</v>
      </c>
      <c r="M153" s="467">
        <f t="shared" si="162"/>
        <v>941223.520000001</v>
      </c>
      <c r="N153" s="467">
        <f t="shared" si="163"/>
        <v>1200885.92</v>
      </c>
      <c r="O153" s="467">
        <f t="shared" si="164"/>
        <v>2764894.08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244627.756800001</v>
      </c>
      <c r="U153" s="467"/>
      <c r="V153" s="467">
        <f t="shared" si="171"/>
        <v>468627.756800001</v>
      </c>
      <c r="W153" s="474">
        <v>12</v>
      </c>
      <c r="X153" s="467">
        <f t="shared" si="172"/>
        <v>39052.3130666667</v>
      </c>
      <c r="Y153" s="470"/>
      <c r="Z153" s="467">
        <f t="shared" si="173"/>
        <v>39052.3130666667</v>
      </c>
      <c r="AA153" s="479">
        <v>23036.0123466667</v>
      </c>
      <c r="AB153" s="479">
        <f t="shared" si="174"/>
        <v>16016.30072</v>
      </c>
      <c r="AC153" s="479"/>
      <c r="AD153" s="479"/>
      <c r="AE153" s="479"/>
    </row>
    <row r="154" ht="18" spans="1:31">
      <c r="A154" s="464">
        <v>132</v>
      </c>
      <c r="B154" s="11" t="s">
        <v>334</v>
      </c>
      <c r="C154" s="467">
        <v>368901.5</v>
      </c>
      <c r="D154" s="466">
        <v>12</v>
      </c>
      <c r="E154" s="467">
        <f t="shared" si="159"/>
        <v>4426818</v>
      </c>
      <c r="F154" s="467">
        <f>457.041*12</f>
        <v>5484.492</v>
      </c>
      <c r="G154" s="468">
        <v>296545.44</v>
      </c>
      <c r="H154" s="470"/>
      <c r="I154" s="467">
        <f t="shared" si="160"/>
        <v>4124788.068</v>
      </c>
      <c r="J154" s="467">
        <v>200000</v>
      </c>
      <c r="K154" s="467">
        <v>0.2</v>
      </c>
      <c r="L154" s="467">
        <f t="shared" si="161"/>
        <v>824957.6136</v>
      </c>
      <c r="M154" s="467">
        <f t="shared" si="162"/>
        <v>1024957.6136</v>
      </c>
      <c r="N154" s="467">
        <f t="shared" si="163"/>
        <v>1326987.5456</v>
      </c>
      <c r="O154" s="467">
        <f t="shared" si="164"/>
        <v>3099830.4544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314964.395424</v>
      </c>
      <c r="U154" s="467"/>
      <c r="V154" s="467">
        <f t="shared" si="171"/>
        <v>538964.395424</v>
      </c>
      <c r="W154" s="474">
        <v>12</v>
      </c>
      <c r="X154" s="467">
        <f t="shared" si="172"/>
        <v>44913.6996186667</v>
      </c>
      <c r="Y154" s="470"/>
      <c r="Z154" s="467">
        <f t="shared" si="173"/>
        <v>44913.6996186667</v>
      </c>
      <c r="AA154" s="479">
        <v>27029.2036746667</v>
      </c>
      <c r="AB154" s="479">
        <f t="shared" si="174"/>
        <v>17884.495944</v>
      </c>
      <c r="AC154" s="479"/>
      <c r="AD154" s="479"/>
      <c r="AE154" s="479"/>
    </row>
    <row r="155" ht="18" spans="1:31">
      <c r="A155" s="464">
        <v>133</v>
      </c>
      <c r="B155" s="11" t="s">
        <v>335</v>
      </c>
      <c r="C155" s="467">
        <v>330481.666666667</v>
      </c>
      <c r="D155" s="466">
        <v>12</v>
      </c>
      <c r="E155" s="467">
        <f t="shared" si="159"/>
        <v>3965780</v>
      </c>
      <c r="F155" s="467"/>
      <c r="G155" s="468">
        <v>259662.4</v>
      </c>
      <c r="H155" s="470"/>
      <c r="I155" s="467">
        <f t="shared" si="160"/>
        <v>3706117.6</v>
      </c>
      <c r="J155" s="467">
        <v>200000</v>
      </c>
      <c r="K155" s="467">
        <v>0.2</v>
      </c>
      <c r="L155" s="467">
        <f t="shared" si="161"/>
        <v>741223.520000001</v>
      </c>
      <c r="M155" s="467">
        <f t="shared" si="162"/>
        <v>941223.520000001</v>
      </c>
      <c r="N155" s="467">
        <f t="shared" si="163"/>
        <v>1200885.92</v>
      </c>
      <c r="O155" s="467">
        <f t="shared" si="164"/>
        <v>2764894.08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244627.756800001</v>
      </c>
      <c r="U155" s="467"/>
      <c r="V155" s="467">
        <f t="shared" si="171"/>
        <v>468627.756800001</v>
      </c>
      <c r="W155" s="474">
        <v>12</v>
      </c>
      <c r="X155" s="467">
        <f t="shared" si="172"/>
        <v>39052.3130666667</v>
      </c>
      <c r="Y155" s="470"/>
      <c r="Z155" s="467">
        <f t="shared" si="173"/>
        <v>39052.3130666667</v>
      </c>
      <c r="AA155" s="479">
        <v>22338.4826046667</v>
      </c>
      <c r="AB155" s="479">
        <f t="shared" si="174"/>
        <v>16713.830462</v>
      </c>
      <c r="AC155" s="479"/>
      <c r="AD155" s="479"/>
      <c r="AE155" s="479"/>
    </row>
    <row r="156" ht="18" spans="1:31">
      <c r="A156" s="464">
        <v>134</v>
      </c>
      <c r="B156" s="18" t="s">
        <v>337</v>
      </c>
      <c r="C156" s="467">
        <v>315849</v>
      </c>
      <c r="D156" s="466">
        <v>12</v>
      </c>
      <c r="E156" s="467">
        <f t="shared" si="159"/>
        <v>3790188</v>
      </c>
      <c r="F156" s="467"/>
      <c r="G156" s="468">
        <v>245615.04</v>
      </c>
      <c r="H156" s="470"/>
      <c r="I156" s="467">
        <f t="shared" si="160"/>
        <v>3544572.96</v>
      </c>
      <c r="J156" s="467">
        <v>200000</v>
      </c>
      <c r="K156" s="467">
        <v>0.2</v>
      </c>
      <c r="L156" s="467">
        <f t="shared" si="161"/>
        <v>708914.592</v>
      </c>
      <c r="M156" s="467">
        <f t="shared" si="162"/>
        <v>908914.592</v>
      </c>
      <c r="N156" s="467">
        <f t="shared" si="163"/>
        <v>1154529.632</v>
      </c>
      <c r="O156" s="467">
        <f t="shared" si="164"/>
        <v>2635658.368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217488.25728</v>
      </c>
      <c r="U156" s="467"/>
      <c r="V156" s="467">
        <f t="shared" si="171"/>
        <v>441488.25728</v>
      </c>
      <c r="W156" s="474">
        <v>12</v>
      </c>
      <c r="X156" s="467">
        <f t="shared" si="172"/>
        <v>36790.6881066667</v>
      </c>
      <c r="Y156" s="470"/>
      <c r="Z156" s="467">
        <f t="shared" si="173"/>
        <v>36790.6881066667</v>
      </c>
      <c r="AA156" s="479">
        <v>21640.9528626667</v>
      </c>
      <c r="AB156" s="479">
        <f t="shared" si="174"/>
        <v>15149.735244</v>
      </c>
      <c r="AC156" s="479"/>
      <c r="AD156" s="479"/>
      <c r="AE156" s="479"/>
    </row>
    <row r="157" ht="18" spans="1:31">
      <c r="A157" s="464">
        <v>135</v>
      </c>
      <c r="B157" s="18" t="s">
        <v>345</v>
      </c>
      <c r="C157" s="467">
        <v>274459.75</v>
      </c>
      <c r="D157" s="466">
        <v>12</v>
      </c>
      <c r="E157" s="467">
        <f t="shared" si="159"/>
        <v>3293517</v>
      </c>
      <c r="F157" s="467">
        <v>0</v>
      </c>
      <c r="G157" s="468">
        <v>215481.36</v>
      </c>
      <c r="H157" s="470"/>
      <c r="I157" s="467">
        <f t="shared" si="160"/>
        <v>3078035.64</v>
      </c>
      <c r="J157" s="467">
        <v>200000</v>
      </c>
      <c r="K157" s="467">
        <v>0.2</v>
      </c>
      <c r="L157" s="467">
        <f t="shared" si="161"/>
        <v>615607.128</v>
      </c>
      <c r="M157" s="467">
        <f t="shared" si="162"/>
        <v>815607.128</v>
      </c>
      <c r="N157" s="467">
        <f t="shared" si="163"/>
        <v>1031088.488</v>
      </c>
      <c r="O157" s="467">
        <f t="shared" si="164"/>
        <v>2262428.512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139109.98752</v>
      </c>
      <c r="U157" s="467"/>
      <c r="V157" s="467">
        <f t="shared" si="171"/>
        <v>363109.98752</v>
      </c>
      <c r="W157" s="474">
        <v>12</v>
      </c>
      <c r="X157" s="467">
        <f t="shared" si="172"/>
        <v>30259.1656266667</v>
      </c>
      <c r="Y157" s="470"/>
      <c r="Z157" s="467">
        <f t="shared" si="173"/>
        <v>30259.1656266667</v>
      </c>
      <c r="AA157" s="479">
        <v>17042.7138666667</v>
      </c>
      <c r="AB157" s="479">
        <f t="shared" si="174"/>
        <v>13216.45176</v>
      </c>
      <c r="AC157" s="479"/>
      <c r="AD157" s="479"/>
      <c r="AE157" s="479"/>
    </row>
    <row r="158" ht="18" spans="1:31">
      <c r="A158" s="464">
        <v>136</v>
      </c>
      <c r="B158" s="18" t="s">
        <v>347</v>
      </c>
      <c r="C158" s="467">
        <v>274459.75</v>
      </c>
      <c r="D158" s="466">
        <v>12</v>
      </c>
      <c r="E158" s="467">
        <f t="shared" si="159"/>
        <v>3293517</v>
      </c>
      <c r="F158" s="467">
        <v>0</v>
      </c>
      <c r="G158" s="468">
        <v>215481.36</v>
      </c>
      <c r="H158" s="470"/>
      <c r="I158" s="467">
        <f t="shared" si="160"/>
        <v>3078035.64</v>
      </c>
      <c r="J158" s="467">
        <v>200000</v>
      </c>
      <c r="K158" s="467">
        <v>0.2</v>
      </c>
      <c r="L158" s="467">
        <f t="shared" si="161"/>
        <v>615607.128</v>
      </c>
      <c r="M158" s="467">
        <f t="shared" si="162"/>
        <v>815607.128</v>
      </c>
      <c r="N158" s="467">
        <f t="shared" si="163"/>
        <v>1031088.488</v>
      </c>
      <c r="O158" s="467">
        <f t="shared" si="164"/>
        <v>2262428.512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139109.98752</v>
      </c>
      <c r="U158" s="467"/>
      <c r="V158" s="467">
        <f t="shared" si="171"/>
        <v>363109.98752</v>
      </c>
      <c r="W158" s="474">
        <v>12</v>
      </c>
      <c r="X158" s="467">
        <f t="shared" si="172"/>
        <v>30259.1656266667</v>
      </c>
      <c r="Y158" s="470"/>
      <c r="Z158" s="467">
        <f t="shared" si="173"/>
        <v>30259.1656266667</v>
      </c>
      <c r="AA158" s="479">
        <v>17042.7138666667</v>
      </c>
      <c r="AB158" s="479">
        <f t="shared" si="174"/>
        <v>13216.45176</v>
      </c>
      <c r="AC158" s="479"/>
      <c r="AD158" s="479"/>
      <c r="AE158" s="479"/>
    </row>
    <row r="159" ht="18" spans="1:31">
      <c r="A159" s="464">
        <v>137</v>
      </c>
      <c r="B159" s="18" t="s">
        <v>349</v>
      </c>
      <c r="C159" s="467">
        <v>274459.75</v>
      </c>
      <c r="D159" s="466">
        <v>12</v>
      </c>
      <c r="E159" s="467">
        <f t="shared" si="159"/>
        <v>3293517</v>
      </c>
      <c r="F159" s="467">
        <v>0</v>
      </c>
      <c r="G159" s="468">
        <v>215481.36</v>
      </c>
      <c r="H159" s="470"/>
      <c r="I159" s="467">
        <f t="shared" si="160"/>
        <v>3078035.64</v>
      </c>
      <c r="J159" s="467">
        <v>200000</v>
      </c>
      <c r="K159" s="467">
        <v>0.2</v>
      </c>
      <c r="L159" s="467">
        <f t="shared" si="161"/>
        <v>615607.128</v>
      </c>
      <c r="M159" s="467">
        <f t="shared" si="162"/>
        <v>815607.128</v>
      </c>
      <c r="N159" s="467">
        <f t="shared" si="163"/>
        <v>1031088.488</v>
      </c>
      <c r="O159" s="467">
        <f t="shared" si="164"/>
        <v>2262428.512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139109.98752</v>
      </c>
      <c r="U159" s="467"/>
      <c r="V159" s="467">
        <f t="shared" si="171"/>
        <v>363109.98752</v>
      </c>
      <c r="W159" s="474">
        <v>12</v>
      </c>
      <c r="X159" s="467">
        <f t="shared" si="172"/>
        <v>30259.1656266667</v>
      </c>
      <c r="Y159" s="470"/>
      <c r="Z159" s="467">
        <f t="shared" si="173"/>
        <v>30259.1656266667</v>
      </c>
      <c r="AA159" s="479">
        <v>17042.7138666667</v>
      </c>
      <c r="AB159" s="479">
        <f t="shared" si="174"/>
        <v>13216.45176</v>
      </c>
      <c r="AC159" s="479"/>
      <c r="AD159" s="479"/>
      <c r="AE159" s="479"/>
    </row>
    <row r="160" ht="18" spans="1:31">
      <c r="A160" s="464">
        <v>138</v>
      </c>
      <c r="B160" s="18" t="s">
        <v>351</v>
      </c>
      <c r="C160" s="467">
        <v>280631.916666667</v>
      </c>
      <c r="D160" s="466">
        <v>12</v>
      </c>
      <c r="E160" s="467">
        <f t="shared" si="159"/>
        <v>3367583</v>
      </c>
      <c r="F160" s="467">
        <v>0</v>
      </c>
      <c r="G160" s="468">
        <v>221406.64</v>
      </c>
      <c r="H160" s="470"/>
      <c r="I160" s="467">
        <f t="shared" si="160"/>
        <v>3146176.36</v>
      </c>
      <c r="J160" s="467">
        <v>200000</v>
      </c>
      <c r="K160" s="467">
        <v>0.2</v>
      </c>
      <c r="L160" s="467">
        <f t="shared" si="161"/>
        <v>629235.272000001</v>
      </c>
      <c r="M160" s="467">
        <f t="shared" si="162"/>
        <v>829235.272000001</v>
      </c>
      <c r="N160" s="467">
        <f t="shared" si="163"/>
        <v>1050641.912</v>
      </c>
      <c r="O160" s="467">
        <f t="shared" si="164"/>
        <v>2316941.088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150557.628480001</v>
      </c>
      <c r="U160" s="467"/>
      <c r="V160" s="467">
        <f t="shared" si="171"/>
        <v>374557.628480001</v>
      </c>
      <c r="W160" s="474">
        <v>12</v>
      </c>
      <c r="X160" s="467">
        <f t="shared" si="172"/>
        <v>31213.1357066667</v>
      </c>
      <c r="Y160" s="470"/>
      <c r="Z160" s="467">
        <f t="shared" si="173"/>
        <v>31213.1357066667</v>
      </c>
      <c r="AA160" s="479">
        <v>17572.8850026667</v>
      </c>
      <c r="AB160" s="479">
        <f t="shared" si="174"/>
        <v>13640.250704</v>
      </c>
      <c r="AC160" s="479"/>
      <c r="AD160" s="479"/>
      <c r="AE160" s="479"/>
    </row>
    <row r="161" ht="18" spans="1:31">
      <c r="A161" s="464">
        <v>139</v>
      </c>
      <c r="B161" s="18" t="s">
        <v>352</v>
      </c>
      <c r="C161" s="467">
        <v>274459.75</v>
      </c>
      <c r="D161" s="466">
        <v>12</v>
      </c>
      <c r="E161" s="467">
        <f t="shared" si="159"/>
        <v>3293517</v>
      </c>
      <c r="F161" s="467">
        <v>0</v>
      </c>
      <c r="G161" s="468">
        <v>215481.36</v>
      </c>
      <c r="H161" s="470"/>
      <c r="I161" s="467">
        <f t="shared" si="160"/>
        <v>3078035.64</v>
      </c>
      <c r="J161" s="467">
        <v>200000</v>
      </c>
      <c r="K161" s="467">
        <v>0.2</v>
      </c>
      <c r="L161" s="467">
        <f t="shared" si="161"/>
        <v>615607.128</v>
      </c>
      <c r="M161" s="467">
        <f t="shared" si="162"/>
        <v>815607.128</v>
      </c>
      <c r="N161" s="467">
        <f t="shared" si="163"/>
        <v>1031088.488</v>
      </c>
      <c r="O161" s="467">
        <f t="shared" si="164"/>
        <v>2262428.512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139109.98752</v>
      </c>
      <c r="U161" s="467"/>
      <c r="V161" s="467">
        <f t="shared" si="171"/>
        <v>363109.98752</v>
      </c>
      <c r="W161" s="474">
        <v>12</v>
      </c>
      <c r="X161" s="467">
        <f t="shared" si="172"/>
        <v>30259.1656266667</v>
      </c>
      <c r="Y161" s="470"/>
      <c r="Z161" s="467">
        <f t="shared" si="173"/>
        <v>30259.1656266667</v>
      </c>
      <c r="AA161" s="479">
        <v>17042.7138666667</v>
      </c>
      <c r="AB161" s="479">
        <f t="shared" si="174"/>
        <v>13216.45176</v>
      </c>
      <c r="AC161" s="479"/>
      <c r="AD161" s="479"/>
      <c r="AE161" s="479"/>
    </row>
    <row r="162" ht="18" spans="1:31">
      <c r="A162" s="464">
        <v>140</v>
      </c>
      <c r="B162" s="11" t="s">
        <v>361</v>
      </c>
      <c r="C162" s="467">
        <v>202598.166666667</v>
      </c>
      <c r="D162" s="466">
        <v>12</v>
      </c>
      <c r="E162" s="467">
        <f t="shared" si="159"/>
        <v>2431178</v>
      </c>
      <c r="F162" s="467">
        <f>263.19*12</f>
        <v>3158.28</v>
      </c>
      <c r="G162" s="468">
        <v>161854.24</v>
      </c>
      <c r="H162" s="470"/>
      <c r="I162" s="467">
        <f t="shared" si="160"/>
        <v>2266165.48</v>
      </c>
      <c r="J162" s="467">
        <v>200000</v>
      </c>
      <c r="K162" s="467">
        <v>0.2</v>
      </c>
      <c r="L162" s="467">
        <f t="shared" si="161"/>
        <v>453233.096000001</v>
      </c>
      <c r="M162" s="467">
        <f t="shared" si="162"/>
        <v>653233.096000001</v>
      </c>
      <c r="N162" s="467">
        <f t="shared" si="163"/>
        <v>818245.616000001</v>
      </c>
      <c r="O162" s="467">
        <f t="shared" si="164"/>
        <v>1612932.384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95000</v>
      </c>
      <c r="T162" s="467">
        <f t="shared" si="169"/>
        <v>2715.8006400007</v>
      </c>
      <c r="U162" s="467"/>
      <c r="V162" s="467">
        <f t="shared" si="171"/>
        <v>226715.800640001</v>
      </c>
      <c r="W162" s="474">
        <v>12</v>
      </c>
      <c r="X162" s="467">
        <f t="shared" si="172"/>
        <v>18892.9833866667</v>
      </c>
      <c r="Y162" s="470"/>
      <c r="Z162" s="467">
        <f t="shared" si="173"/>
        <v>18892.9833866667</v>
      </c>
      <c r="AA162" s="479">
        <v>10739.3048</v>
      </c>
      <c r="AB162" s="479">
        <f t="shared" si="174"/>
        <v>8153.67858666673</v>
      </c>
      <c r="AC162" s="479"/>
      <c r="AD162" s="479"/>
      <c r="AE162" s="479"/>
    </row>
    <row r="163" ht="18" spans="1:31">
      <c r="A163" s="464">
        <v>141</v>
      </c>
      <c r="B163" s="11" t="s">
        <v>364</v>
      </c>
      <c r="C163" s="467">
        <v>205598.166666667</v>
      </c>
      <c r="D163" s="466">
        <v>12</v>
      </c>
      <c r="E163" s="467">
        <f t="shared" si="159"/>
        <v>2467178</v>
      </c>
      <c r="F163" s="467"/>
      <c r="G163" s="468">
        <v>161854.24</v>
      </c>
      <c r="H163" s="470"/>
      <c r="I163" s="467">
        <f t="shared" si="160"/>
        <v>2305323.76</v>
      </c>
      <c r="J163" s="467">
        <v>200000</v>
      </c>
      <c r="K163" s="467">
        <v>0.2</v>
      </c>
      <c r="L163" s="467">
        <f t="shared" si="161"/>
        <v>461064.752000001</v>
      </c>
      <c r="M163" s="467">
        <f t="shared" si="162"/>
        <v>661064.752000001</v>
      </c>
      <c r="N163" s="467">
        <f t="shared" si="163"/>
        <v>822918.992000001</v>
      </c>
      <c r="O163" s="467">
        <f t="shared" si="164"/>
        <v>1644259.008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95000</v>
      </c>
      <c r="T163" s="467">
        <f t="shared" si="169"/>
        <v>9294.39168000067</v>
      </c>
      <c r="U163" s="467"/>
      <c r="V163" s="467">
        <f t="shared" si="171"/>
        <v>233294.391680001</v>
      </c>
      <c r="W163" s="474">
        <v>12</v>
      </c>
      <c r="X163" s="467">
        <f t="shared" si="172"/>
        <v>19441.1993066667</v>
      </c>
      <c r="Y163" s="470"/>
      <c r="Z163" s="467">
        <f t="shared" si="173"/>
        <v>19441.1993066667</v>
      </c>
      <c r="AA163" s="479">
        <v>11232.4576266667</v>
      </c>
      <c r="AB163" s="479">
        <f t="shared" si="174"/>
        <v>8208.74168000002</v>
      </c>
      <c r="AC163" s="479"/>
      <c r="AD163" s="479"/>
      <c r="AE163" s="479"/>
    </row>
    <row r="164" ht="15.75" customHeight="1" spans="1:31">
      <c r="A164" s="464">
        <v>142</v>
      </c>
      <c r="B164" s="11" t="s">
        <v>570</v>
      </c>
      <c r="C164" s="467">
        <v>202598.166666667</v>
      </c>
      <c r="D164" s="466">
        <v>12</v>
      </c>
      <c r="E164" s="467">
        <f t="shared" si="159"/>
        <v>2431178</v>
      </c>
      <c r="F164" s="467"/>
      <c r="G164" s="468">
        <v>161854.24</v>
      </c>
      <c r="H164" s="470"/>
      <c r="I164" s="467">
        <f t="shared" si="160"/>
        <v>2269323.76</v>
      </c>
      <c r="J164" s="467">
        <v>200000</v>
      </c>
      <c r="K164" s="467">
        <v>0.2</v>
      </c>
      <c r="L164" s="467">
        <f t="shared" si="161"/>
        <v>453864.752000001</v>
      </c>
      <c r="M164" s="467">
        <f t="shared" si="162"/>
        <v>653864.752000001</v>
      </c>
      <c r="N164" s="467">
        <f t="shared" si="163"/>
        <v>815718.992000001</v>
      </c>
      <c r="O164" s="467">
        <f t="shared" si="164"/>
        <v>1615459.008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95000</v>
      </c>
      <c r="T164" s="467">
        <f t="shared" si="169"/>
        <v>3246.39168000067</v>
      </c>
      <c r="U164" s="467"/>
      <c r="V164" s="467">
        <f t="shared" si="171"/>
        <v>227246.391680001</v>
      </c>
      <c r="W164" s="474">
        <v>12</v>
      </c>
      <c r="X164" s="467">
        <f t="shared" si="172"/>
        <v>18937.1993066667</v>
      </c>
      <c r="Y164" s="470"/>
      <c r="Z164" s="467">
        <f t="shared" si="173"/>
        <v>18937.1993066667</v>
      </c>
      <c r="AA164" s="479">
        <v>10776.4576266667</v>
      </c>
      <c r="AB164" s="479">
        <f t="shared" si="174"/>
        <v>8160.74168000002</v>
      </c>
      <c r="AC164" s="479"/>
      <c r="AD164" s="479"/>
      <c r="AE164" s="479"/>
    </row>
    <row r="165" ht="18" spans="1:31">
      <c r="A165" s="464">
        <v>143</v>
      </c>
      <c r="B165" s="11" t="s">
        <v>365</v>
      </c>
      <c r="C165" s="467">
        <v>202598.166666667</v>
      </c>
      <c r="D165" s="466">
        <v>12</v>
      </c>
      <c r="E165" s="467">
        <f t="shared" si="159"/>
        <v>2431178</v>
      </c>
      <c r="F165" s="467">
        <f>263.19*12</f>
        <v>3158.28</v>
      </c>
      <c r="G165" s="468">
        <v>161854.24</v>
      </c>
      <c r="H165" s="470"/>
      <c r="I165" s="467">
        <f t="shared" si="160"/>
        <v>2266165.48</v>
      </c>
      <c r="J165" s="467">
        <v>200000</v>
      </c>
      <c r="K165" s="467">
        <v>0.2</v>
      </c>
      <c r="L165" s="467">
        <f t="shared" si="161"/>
        <v>453233.096000001</v>
      </c>
      <c r="M165" s="467">
        <f t="shared" si="162"/>
        <v>653233.096000001</v>
      </c>
      <c r="N165" s="467">
        <f t="shared" si="163"/>
        <v>818245.616000001</v>
      </c>
      <c r="O165" s="467">
        <f t="shared" si="164"/>
        <v>1612932.384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95000</v>
      </c>
      <c r="T165" s="467">
        <f t="shared" si="169"/>
        <v>2715.8006400007</v>
      </c>
      <c r="U165" s="467"/>
      <c r="V165" s="467">
        <f t="shared" si="171"/>
        <v>226715.800640001</v>
      </c>
      <c r="W165" s="474">
        <v>12</v>
      </c>
      <c r="X165" s="467">
        <f t="shared" si="172"/>
        <v>18892.9833866667</v>
      </c>
      <c r="Y165" s="470"/>
      <c r="Z165" s="467">
        <f t="shared" si="173"/>
        <v>18892.9833866667</v>
      </c>
      <c r="AA165" s="479">
        <v>10739.3048</v>
      </c>
      <c r="AB165" s="479">
        <f t="shared" si="174"/>
        <v>8153.67858666673</v>
      </c>
      <c r="AC165" s="479"/>
      <c r="AD165" s="479"/>
      <c r="AE165" s="479"/>
    </row>
    <row r="166" ht="18" spans="1:31">
      <c r="A166" s="464">
        <v>144</v>
      </c>
      <c r="B166" s="11" t="s">
        <v>366</v>
      </c>
      <c r="C166" s="467">
        <v>202598.166666667</v>
      </c>
      <c r="D166" s="466">
        <v>12</v>
      </c>
      <c r="E166" s="467">
        <f t="shared" si="159"/>
        <v>2431178</v>
      </c>
      <c r="F166" s="467"/>
      <c r="G166" s="468">
        <v>161854.24</v>
      </c>
      <c r="H166" s="470"/>
      <c r="I166" s="467">
        <f t="shared" si="160"/>
        <v>2269323.76</v>
      </c>
      <c r="J166" s="467">
        <v>200000</v>
      </c>
      <c r="K166" s="467">
        <v>0.2</v>
      </c>
      <c r="L166" s="467">
        <f t="shared" si="161"/>
        <v>453864.752000001</v>
      </c>
      <c r="M166" s="467">
        <f t="shared" si="162"/>
        <v>653864.752000001</v>
      </c>
      <c r="N166" s="467">
        <f t="shared" si="163"/>
        <v>815718.992000001</v>
      </c>
      <c r="O166" s="467">
        <f t="shared" si="164"/>
        <v>1615459.008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95000</v>
      </c>
      <c r="T166" s="467">
        <f t="shared" si="169"/>
        <v>3246.39168000067</v>
      </c>
      <c r="U166" s="467"/>
      <c r="V166" s="467">
        <f t="shared" si="171"/>
        <v>227246.391680001</v>
      </c>
      <c r="W166" s="474">
        <v>12</v>
      </c>
      <c r="X166" s="467">
        <f t="shared" si="172"/>
        <v>18937.1993066667</v>
      </c>
      <c r="Y166" s="470"/>
      <c r="Z166" s="467">
        <f t="shared" si="173"/>
        <v>18937.1993066667</v>
      </c>
      <c r="AA166" s="479">
        <v>10776.4576266667</v>
      </c>
      <c r="AB166" s="479">
        <f t="shared" si="174"/>
        <v>8160.74168000002</v>
      </c>
      <c r="AC166" s="479"/>
      <c r="AD166" s="479"/>
      <c r="AE166" s="479"/>
    </row>
    <row r="167" ht="18" spans="1:31">
      <c r="A167" s="464">
        <v>145</v>
      </c>
      <c r="B167" s="11" t="s">
        <v>367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18" spans="1:31">
      <c r="A168" s="464">
        <v>146</v>
      </c>
      <c r="B168" s="11" t="s">
        <v>369</v>
      </c>
      <c r="C168" s="467">
        <v>197336.833333333</v>
      </c>
      <c r="D168" s="466">
        <v>12</v>
      </c>
      <c r="E168" s="467">
        <f t="shared" si="159"/>
        <v>2368042</v>
      </c>
      <c r="F168" s="467"/>
      <c r="G168" s="468">
        <v>156803.36</v>
      </c>
      <c r="H168" s="470"/>
      <c r="I168" s="467">
        <f t="shared" si="160"/>
        <v>2211238.64</v>
      </c>
      <c r="J168" s="467">
        <v>200000</v>
      </c>
      <c r="K168" s="467">
        <v>0.2</v>
      </c>
      <c r="L168" s="467">
        <f t="shared" si="161"/>
        <v>442247.727999999</v>
      </c>
      <c r="M168" s="467">
        <f t="shared" si="162"/>
        <v>642247.727999999</v>
      </c>
      <c r="N168" s="467">
        <f t="shared" si="163"/>
        <v>799051.087999999</v>
      </c>
      <c r="O168" s="467">
        <f t="shared" si="164"/>
        <v>1568990.912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89108.2732799994</v>
      </c>
      <c r="T168" s="467">
        <f t="shared" si="169"/>
        <v>0</v>
      </c>
      <c r="U168" s="467"/>
      <c r="V168" s="467">
        <f t="shared" si="171"/>
        <v>218108.273279999</v>
      </c>
      <c r="W168" s="474">
        <v>12</v>
      </c>
      <c r="X168" s="467">
        <f t="shared" si="172"/>
        <v>18175.6894399999</v>
      </c>
      <c r="Y168" s="470"/>
      <c r="Z168" s="467">
        <f t="shared" si="173"/>
        <v>18175.6894399999</v>
      </c>
      <c r="AA168" s="479">
        <v>10776.4576266667</v>
      </c>
      <c r="AB168" s="479">
        <f t="shared" si="174"/>
        <v>7399.23181333325</v>
      </c>
      <c r="AC168" s="479"/>
      <c r="AD168" s="479"/>
      <c r="AE168" s="479"/>
    </row>
    <row r="169" ht="18" spans="1:31">
      <c r="A169" s="464">
        <v>147</v>
      </c>
      <c r="B169" s="14" t="s">
        <v>370</v>
      </c>
      <c r="C169" s="467">
        <v>200336.833333333</v>
      </c>
      <c r="D169" s="466">
        <v>12</v>
      </c>
      <c r="E169" s="467">
        <f t="shared" si="159"/>
        <v>2404042</v>
      </c>
      <c r="F169" s="467"/>
      <c r="G169" s="468">
        <v>156803.36</v>
      </c>
      <c r="H169" s="470"/>
      <c r="I169" s="467">
        <f t="shared" si="160"/>
        <v>2247238.64</v>
      </c>
      <c r="J169" s="467">
        <v>200000</v>
      </c>
      <c r="K169" s="467">
        <v>0.2</v>
      </c>
      <c r="L169" s="467">
        <f t="shared" si="161"/>
        <v>449447.727999999</v>
      </c>
      <c r="M169" s="467">
        <f t="shared" si="162"/>
        <v>649447.727999999</v>
      </c>
      <c r="N169" s="467">
        <f t="shared" si="163"/>
        <v>806251.087999999</v>
      </c>
      <c r="O169" s="467">
        <f t="shared" si="164"/>
        <v>1597790.912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94580.2732799994</v>
      </c>
      <c r="T169" s="467">
        <f t="shared" si="169"/>
        <v>0</v>
      </c>
      <c r="U169" s="467"/>
      <c r="V169" s="467">
        <f t="shared" si="171"/>
        <v>223580.273279999</v>
      </c>
      <c r="W169" s="474">
        <v>12</v>
      </c>
      <c r="X169" s="467">
        <f t="shared" si="172"/>
        <v>18631.6894399999</v>
      </c>
      <c r="Y169" s="470"/>
      <c r="Z169" s="467">
        <f t="shared" si="173"/>
        <v>18631.6894399999</v>
      </c>
      <c r="AA169" s="479">
        <v>11232.4576266667</v>
      </c>
      <c r="AB169" s="479">
        <f t="shared" si="174"/>
        <v>7399.23181333325</v>
      </c>
      <c r="AC169" s="479"/>
      <c r="AD169" s="479"/>
      <c r="AE169" s="479"/>
    </row>
    <row r="170" ht="18" spans="1:31">
      <c r="A170" s="464">
        <v>148</v>
      </c>
      <c r="B170" s="11" t="s">
        <v>371</v>
      </c>
      <c r="C170" s="467">
        <v>197336.833333333</v>
      </c>
      <c r="D170" s="466">
        <v>12</v>
      </c>
      <c r="E170" s="467">
        <f t="shared" si="159"/>
        <v>2368042</v>
      </c>
      <c r="F170" s="467"/>
      <c r="G170" s="468">
        <v>156803.36</v>
      </c>
      <c r="H170" s="470"/>
      <c r="I170" s="467">
        <f t="shared" si="160"/>
        <v>2211238.64</v>
      </c>
      <c r="J170" s="467">
        <v>200000</v>
      </c>
      <c r="K170" s="467">
        <v>0.2</v>
      </c>
      <c r="L170" s="467">
        <f t="shared" si="161"/>
        <v>442247.727999999</v>
      </c>
      <c r="M170" s="467">
        <f t="shared" si="162"/>
        <v>642247.727999999</v>
      </c>
      <c r="N170" s="467">
        <f t="shared" si="163"/>
        <v>799051.087999999</v>
      </c>
      <c r="O170" s="467">
        <f t="shared" si="164"/>
        <v>1568990.912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89108.2732799994</v>
      </c>
      <c r="T170" s="467">
        <f t="shared" si="169"/>
        <v>0</v>
      </c>
      <c r="U170" s="467"/>
      <c r="V170" s="467">
        <f t="shared" si="171"/>
        <v>218108.273279999</v>
      </c>
      <c r="W170" s="474">
        <v>12</v>
      </c>
      <c r="X170" s="467">
        <f t="shared" si="172"/>
        <v>18175.6894399999</v>
      </c>
      <c r="Y170" s="470"/>
      <c r="Z170" s="467">
        <f t="shared" si="173"/>
        <v>18175.6894399999</v>
      </c>
      <c r="AA170" s="479">
        <v>10776.4576266667</v>
      </c>
      <c r="AB170" s="479">
        <f t="shared" si="174"/>
        <v>7399.23181333325</v>
      </c>
      <c r="AC170" s="479"/>
      <c r="AD170" s="479"/>
      <c r="AE170" s="479"/>
    </row>
    <row r="171" ht="18" spans="1:31">
      <c r="A171" s="464">
        <v>149</v>
      </c>
      <c r="B171" s="18" t="s">
        <v>372</v>
      </c>
      <c r="C171" s="467">
        <v>197336.833333333</v>
      </c>
      <c r="D171" s="466">
        <v>12</v>
      </c>
      <c r="E171" s="467">
        <f t="shared" si="159"/>
        <v>2368042</v>
      </c>
      <c r="F171" s="467"/>
      <c r="G171" s="468">
        <v>156803.36</v>
      </c>
      <c r="H171" s="470"/>
      <c r="I171" s="467">
        <f t="shared" si="160"/>
        <v>2211238.64</v>
      </c>
      <c r="J171" s="467">
        <v>200000</v>
      </c>
      <c r="K171" s="467">
        <v>0.2</v>
      </c>
      <c r="L171" s="467">
        <f t="shared" si="161"/>
        <v>442247.727999999</v>
      </c>
      <c r="M171" s="467">
        <f t="shared" si="162"/>
        <v>642247.727999999</v>
      </c>
      <c r="N171" s="467">
        <f t="shared" si="163"/>
        <v>799051.087999999</v>
      </c>
      <c r="O171" s="467">
        <f t="shared" si="164"/>
        <v>1568990.912</v>
      </c>
      <c r="P171" s="467">
        <f t="shared" si="165"/>
        <v>21000</v>
      </c>
      <c r="Q171" s="467">
        <f t="shared" si="166"/>
        <v>33000</v>
      </c>
      <c r="R171" s="467">
        <f t="shared" si="167"/>
        <v>75000</v>
      </c>
      <c r="S171" s="467">
        <f t="shared" si="168"/>
        <v>89108.2732799994</v>
      </c>
      <c r="T171" s="467">
        <f t="shared" si="169"/>
        <v>0</v>
      </c>
      <c r="U171" s="467"/>
      <c r="V171" s="467">
        <f t="shared" si="171"/>
        <v>218108.273279999</v>
      </c>
      <c r="W171" s="474">
        <v>12</v>
      </c>
      <c r="X171" s="467">
        <f t="shared" si="172"/>
        <v>18175.6894399999</v>
      </c>
      <c r="Y171" s="470"/>
      <c r="Z171" s="467">
        <f t="shared" si="173"/>
        <v>18175.6894399999</v>
      </c>
      <c r="AA171" s="479">
        <v>10776.4576266667</v>
      </c>
      <c r="AB171" s="479">
        <f t="shared" si="174"/>
        <v>7399.23181333325</v>
      </c>
      <c r="AC171" s="479"/>
      <c r="AD171" s="479"/>
      <c r="AE171" s="479"/>
    </row>
    <row r="172" ht="18" spans="1:31">
      <c r="A172" s="464">
        <v>150</v>
      </c>
      <c r="B172" s="18" t="s">
        <v>359</v>
      </c>
      <c r="C172" s="467">
        <v>200336.833333333</v>
      </c>
      <c r="D172" s="466">
        <v>12</v>
      </c>
      <c r="E172" s="467">
        <f t="shared" si="159"/>
        <v>2404042</v>
      </c>
      <c r="F172" s="467"/>
      <c r="G172" s="468">
        <v>156803.36</v>
      </c>
      <c r="H172" s="470"/>
      <c r="I172" s="467">
        <f t="shared" si="160"/>
        <v>2247238.64</v>
      </c>
      <c r="J172" s="467">
        <v>200000</v>
      </c>
      <c r="K172" s="467">
        <v>0.2</v>
      </c>
      <c r="L172" s="467">
        <f t="shared" si="161"/>
        <v>449447.727999999</v>
      </c>
      <c r="M172" s="467">
        <f t="shared" si="162"/>
        <v>649447.727999999</v>
      </c>
      <c r="N172" s="467">
        <f t="shared" si="163"/>
        <v>806251.087999999</v>
      </c>
      <c r="O172" s="467">
        <f t="shared" si="164"/>
        <v>1597790.912</v>
      </c>
      <c r="P172" s="467">
        <f t="shared" si="165"/>
        <v>21000</v>
      </c>
      <c r="Q172" s="467">
        <f t="shared" si="166"/>
        <v>33000</v>
      </c>
      <c r="R172" s="467">
        <f t="shared" si="167"/>
        <v>75000</v>
      </c>
      <c r="S172" s="467">
        <f t="shared" si="168"/>
        <v>94580.2732799994</v>
      </c>
      <c r="T172" s="467">
        <f t="shared" si="169"/>
        <v>0</v>
      </c>
      <c r="U172" s="467"/>
      <c r="V172" s="467">
        <f t="shared" si="171"/>
        <v>223580.273279999</v>
      </c>
      <c r="W172" s="474">
        <v>12</v>
      </c>
      <c r="X172" s="467">
        <f t="shared" si="172"/>
        <v>18631.6894399999</v>
      </c>
      <c r="Y172" s="470"/>
      <c r="Z172" s="467">
        <f t="shared" si="173"/>
        <v>18631.6894399999</v>
      </c>
      <c r="AA172" s="479">
        <v>11232.4576266667</v>
      </c>
      <c r="AB172" s="479">
        <f t="shared" si="174"/>
        <v>7399.23181333325</v>
      </c>
      <c r="AC172" s="479"/>
      <c r="AD172" s="479"/>
      <c r="AE172" s="479"/>
    </row>
    <row r="173" ht="36" spans="1:31">
      <c r="A173" s="464">
        <v>151</v>
      </c>
      <c r="B173" s="11" t="s">
        <v>373</v>
      </c>
      <c r="C173" s="467">
        <v>189814.166666667</v>
      </c>
      <c r="D173" s="466">
        <v>12</v>
      </c>
      <c r="E173" s="467">
        <f t="shared" si="159"/>
        <v>2277770</v>
      </c>
      <c r="F173" s="467"/>
      <c r="G173" s="468">
        <v>146701.6</v>
      </c>
      <c r="H173" s="470"/>
      <c r="I173" s="467">
        <f t="shared" si="160"/>
        <v>2131068.4</v>
      </c>
      <c r="J173" s="467">
        <v>200000</v>
      </c>
      <c r="K173" s="467">
        <v>0.2</v>
      </c>
      <c r="L173" s="467">
        <f t="shared" si="161"/>
        <v>426213.680000001</v>
      </c>
      <c r="M173" s="467">
        <f t="shared" si="162"/>
        <v>626213.680000001</v>
      </c>
      <c r="N173" s="467">
        <f t="shared" si="163"/>
        <v>772915.280000001</v>
      </c>
      <c r="O173" s="467">
        <f t="shared" si="164"/>
        <v>1504854.72</v>
      </c>
      <c r="P173" s="467">
        <f t="shared" si="165"/>
        <v>21000</v>
      </c>
      <c r="Q173" s="467">
        <f t="shared" si="166"/>
        <v>33000</v>
      </c>
      <c r="R173" s="467">
        <f t="shared" si="167"/>
        <v>75000</v>
      </c>
      <c r="S173" s="467">
        <f t="shared" si="168"/>
        <v>76922.3968000007</v>
      </c>
      <c r="T173" s="467">
        <f t="shared" si="169"/>
        <v>0</v>
      </c>
      <c r="U173" s="467"/>
      <c r="V173" s="467">
        <f t="shared" si="171"/>
        <v>205922.396800001</v>
      </c>
      <c r="W173" s="474">
        <v>12</v>
      </c>
      <c r="X173" s="467">
        <f t="shared" si="172"/>
        <v>17160.1997333334</v>
      </c>
      <c r="Y173" s="470"/>
      <c r="Z173" s="467">
        <f t="shared" si="173"/>
        <v>17160.1997333334</v>
      </c>
      <c r="AA173" s="479">
        <v>9152.59979</v>
      </c>
      <c r="AB173" s="479">
        <f t="shared" si="174"/>
        <v>8007.59994333339</v>
      </c>
      <c r="AC173" s="479"/>
      <c r="AD173" s="479"/>
      <c r="AE173" s="479"/>
    </row>
    <row r="174" ht="18" spans="1:31">
      <c r="A174" s="464">
        <v>152</v>
      </c>
      <c r="B174" s="11" t="s">
        <v>376</v>
      </c>
      <c r="C174" s="467">
        <v>189814.166666667</v>
      </c>
      <c r="D174" s="466">
        <v>12</v>
      </c>
      <c r="E174" s="467">
        <f t="shared" si="159"/>
        <v>2277770</v>
      </c>
      <c r="F174" s="467"/>
      <c r="G174" s="468">
        <v>146701.6</v>
      </c>
      <c r="H174" s="470"/>
      <c r="I174" s="467">
        <f t="shared" si="160"/>
        <v>2131068.4</v>
      </c>
      <c r="J174" s="467">
        <v>200000</v>
      </c>
      <c r="K174" s="467">
        <v>0.2</v>
      </c>
      <c r="L174" s="467">
        <f t="shared" si="161"/>
        <v>426213.680000001</v>
      </c>
      <c r="M174" s="467">
        <f t="shared" si="162"/>
        <v>626213.680000001</v>
      </c>
      <c r="N174" s="467">
        <f t="shared" si="163"/>
        <v>772915.280000001</v>
      </c>
      <c r="O174" s="467">
        <f t="shared" si="164"/>
        <v>1504854.72</v>
      </c>
      <c r="P174" s="467">
        <f t="shared" si="165"/>
        <v>21000</v>
      </c>
      <c r="Q174" s="467">
        <f t="shared" si="166"/>
        <v>33000</v>
      </c>
      <c r="R174" s="467">
        <f t="shared" si="167"/>
        <v>75000</v>
      </c>
      <c r="S174" s="467">
        <f t="shared" si="168"/>
        <v>76922.3968000007</v>
      </c>
      <c r="T174" s="467">
        <f t="shared" si="169"/>
        <v>0</v>
      </c>
      <c r="U174" s="467"/>
      <c r="V174" s="467">
        <f t="shared" si="171"/>
        <v>205922.396800001</v>
      </c>
      <c r="W174" s="474">
        <v>12</v>
      </c>
      <c r="X174" s="467">
        <f t="shared" si="172"/>
        <v>17160.1997333334</v>
      </c>
      <c r="Y174" s="470"/>
      <c r="Z174" s="467">
        <f t="shared" si="173"/>
        <v>17160.1997333334</v>
      </c>
      <c r="AA174" s="479">
        <v>9152.59979</v>
      </c>
      <c r="AB174" s="479">
        <f t="shared" si="174"/>
        <v>8007.59994333339</v>
      </c>
      <c r="AC174" s="479"/>
      <c r="AD174" s="479"/>
      <c r="AE174" s="479"/>
    </row>
    <row r="175" ht="18" spans="1:31">
      <c r="A175" s="464">
        <v>153</v>
      </c>
      <c r="B175" s="18" t="s">
        <v>377</v>
      </c>
      <c r="C175" s="467">
        <v>195075.5</v>
      </c>
      <c r="D175" s="466">
        <v>12</v>
      </c>
      <c r="E175" s="467">
        <f t="shared" si="159"/>
        <v>2340906</v>
      </c>
      <c r="F175" s="467"/>
      <c r="G175" s="468">
        <v>151752.48</v>
      </c>
      <c r="H175" s="470"/>
      <c r="I175" s="467">
        <f t="shared" si="160"/>
        <v>2189153.52</v>
      </c>
      <c r="J175" s="467">
        <v>200000</v>
      </c>
      <c r="K175" s="467">
        <v>0.2</v>
      </c>
      <c r="L175" s="467">
        <f t="shared" si="161"/>
        <v>437830.704</v>
      </c>
      <c r="M175" s="467">
        <f t="shared" si="162"/>
        <v>637830.704</v>
      </c>
      <c r="N175" s="467">
        <f t="shared" si="163"/>
        <v>789583.184</v>
      </c>
      <c r="O175" s="467">
        <f t="shared" si="164"/>
        <v>1551322.816</v>
      </c>
      <c r="P175" s="467">
        <f t="shared" si="165"/>
        <v>21000</v>
      </c>
      <c r="Q175" s="467">
        <f t="shared" si="166"/>
        <v>33000</v>
      </c>
      <c r="R175" s="467">
        <f t="shared" si="167"/>
        <v>75000</v>
      </c>
      <c r="S175" s="467">
        <f t="shared" si="168"/>
        <v>85751.33504</v>
      </c>
      <c r="T175" s="467">
        <f t="shared" si="169"/>
        <v>0</v>
      </c>
      <c r="U175" s="467"/>
      <c r="V175" s="467">
        <f t="shared" si="171"/>
        <v>214751.33504</v>
      </c>
      <c r="W175" s="474">
        <v>12</v>
      </c>
      <c r="X175" s="467">
        <f t="shared" si="172"/>
        <v>17895.9445866667</v>
      </c>
      <c r="Y175" s="470"/>
      <c r="Z175" s="467">
        <f t="shared" si="173"/>
        <v>17895.9445866667</v>
      </c>
      <c r="AA175" s="479">
        <v>9504.20414</v>
      </c>
      <c r="AB175" s="479">
        <f t="shared" si="174"/>
        <v>8391.74044666667</v>
      </c>
      <c r="AC175" s="479"/>
      <c r="AD175" s="479"/>
      <c r="AE175" s="479"/>
    </row>
    <row r="176" ht="29.25" customHeight="1" spans="1:31">
      <c r="A176" s="464">
        <v>154</v>
      </c>
      <c r="B176" s="11" t="s">
        <v>379</v>
      </c>
      <c r="C176" s="467">
        <v>121145.75</v>
      </c>
      <c r="D176" s="466">
        <v>12</v>
      </c>
      <c r="E176" s="467">
        <f t="shared" si="159"/>
        <v>1453749</v>
      </c>
      <c r="F176" s="467"/>
      <c r="G176" s="468">
        <v>90379.92</v>
      </c>
      <c r="H176" s="470"/>
      <c r="I176" s="467">
        <f t="shared" si="160"/>
        <v>1363369.08</v>
      </c>
      <c r="J176" s="467">
        <v>200000</v>
      </c>
      <c r="K176" s="467">
        <v>0.2</v>
      </c>
      <c r="L176" s="467">
        <f t="shared" si="161"/>
        <v>272673.816</v>
      </c>
      <c r="M176" s="467">
        <f t="shared" si="162"/>
        <v>472673.816</v>
      </c>
      <c r="N176" s="467">
        <f t="shared" si="163"/>
        <v>563053.736</v>
      </c>
      <c r="O176" s="467">
        <f t="shared" si="164"/>
        <v>890695.264</v>
      </c>
      <c r="P176" s="467">
        <f t="shared" si="165"/>
        <v>21000</v>
      </c>
      <c r="Q176" s="467">
        <f t="shared" si="166"/>
        <v>33000</v>
      </c>
      <c r="R176" s="467">
        <f t="shared" si="167"/>
        <v>43604.2896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97604.2896</v>
      </c>
      <c r="W176" s="474">
        <v>12</v>
      </c>
      <c r="X176" s="467">
        <f t="shared" si="172"/>
        <v>8133.6908</v>
      </c>
      <c r="Y176" s="470"/>
      <c r="Z176" s="467">
        <f t="shared" si="173"/>
        <v>8133.6908</v>
      </c>
      <c r="AA176" s="479">
        <v>4365.33075466667</v>
      </c>
      <c r="AB176" s="479">
        <f t="shared" si="174"/>
        <v>3768.36004533333</v>
      </c>
      <c r="AC176" s="479"/>
      <c r="AD176" s="479"/>
      <c r="AE176" s="479"/>
    </row>
    <row r="177" ht="18" spans="1:31">
      <c r="A177" s="464">
        <v>155</v>
      </c>
      <c r="B177" s="11" t="s">
        <v>382</v>
      </c>
      <c r="C177" s="467">
        <v>118598</v>
      </c>
      <c r="D177" s="466">
        <v>12</v>
      </c>
      <c r="E177" s="467">
        <f t="shared" si="159"/>
        <v>1423176</v>
      </c>
      <c r="F177" s="467"/>
      <c r="G177" s="468">
        <v>87934.08</v>
      </c>
      <c r="H177" s="470"/>
      <c r="I177" s="467">
        <f t="shared" si="160"/>
        <v>1335241.92</v>
      </c>
      <c r="J177" s="467">
        <v>200000</v>
      </c>
      <c r="K177" s="467">
        <v>0.2</v>
      </c>
      <c r="L177" s="467">
        <f t="shared" si="161"/>
        <v>267048.384</v>
      </c>
      <c r="M177" s="467">
        <f t="shared" si="162"/>
        <v>467048.384</v>
      </c>
      <c r="N177" s="467">
        <f t="shared" si="163"/>
        <v>554982.464</v>
      </c>
      <c r="O177" s="467">
        <f t="shared" si="164"/>
        <v>868193.536</v>
      </c>
      <c r="P177" s="467">
        <f t="shared" si="165"/>
        <v>21000</v>
      </c>
      <c r="Q177" s="467">
        <f t="shared" si="166"/>
        <v>33000</v>
      </c>
      <c r="R177" s="467">
        <f t="shared" si="167"/>
        <v>40229.0304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94229.0304</v>
      </c>
      <c r="W177" s="474">
        <v>12</v>
      </c>
      <c r="X177" s="467">
        <f t="shared" si="172"/>
        <v>7852.4192</v>
      </c>
      <c r="Y177" s="470"/>
      <c r="Z177" s="467">
        <f t="shared" si="173"/>
        <v>7852.4192</v>
      </c>
      <c r="AA177" s="479">
        <v>4227.52372266667</v>
      </c>
      <c r="AB177" s="479">
        <f t="shared" si="174"/>
        <v>3624.89547733333</v>
      </c>
      <c r="AC177" s="479"/>
      <c r="AD177" s="479"/>
      <c r="AE177" s="479"/>
    </row>
    <row r="178" ht="18" spans="1:31">
      <c r="A178" s="464">
        <v>156</v>
      </c>
      <c r="B178" s="11" t="s">
        <v>383</v>
      </c>
      <c r="C178" s="467">
        <v>115598</v>
      </c>
      <c r="D178" s="466">
        <v>12</v>
      </c>
      <c r="E178" s="467">
        <f t="shared" si="159"/>
        <v>1387176</v>
      </c>
      <c r="F178" s="467"/>
      <c r="G178" s="468">
        <v>87934.08</v>
      </c>
      <c r="H178" s="470"/>
      <c r="I178" s="467">
        <f t="shared" si="160"/>
        <v>1299241.92</v>
      </c>
      <c r="J178" s="467">
        <v>200000</v>
      </c>
      <c r="K178" s="467">
        <v>0.2</v>
      </c>
      <c r="L178" s="467">
        <f t="shared" si="161"/>
        <v>259848.384</v>
      </c>
      <c r="M178" s="467">
        <f t="shared" si="162"/>
        <v>459848.384</v>
      </c>
      <c r="N178" s="467">
        <f t="shared" si="163"/>
        <v>547782.464</v>
      </c>
      <c r="O178" s="467">
        <f t="shared" si="164"/>
        <v>839393.536</v>
      </c>
      <c r="P178" s="467">
        <f t="shared" si="165"/>
        <v>21000</v>
      </c>
      <c r="Q178" s="467">
        <f t="shared" si="166"/>
        <v>33000</v>
      </c>
      <c r="R178" s="467">
        <f t="shared" si="167"/>
        <v>35909.0304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89909.0304</v>
      </c>
      <c r="W178" s="474">
        <v>12</v>
      </c>
      <c r="X178" s="467">
        <f t="shared" si="172"/>
        <v>7492.4192</v>
      </c>
      <c r="Y178" s="470"/>
      <c r="Z178" s="467">
        <f t="shared" si="173"/>
        <v>7492.4192</v>
      </c>
      <c r="AA178" s="479">
        <v>3963.52372266667</v>
      </c>
      <c r="AB178" s="479">
        <f t="shared" si="174"/>
        <v>3528.89547733333</v>
      </c>
      <c r="AC178" s="479"/>
      <c r="AD178" s="479"/>
      <c r="AE178" s="479"/>
    </row>
    <row r="179" ht="18" spans="1:31">
      <c r="A179" s="464">
        <v>157</v>
      </c>
      <c r="B179" s="11" t="s">
        <v>384</v>
      </c>
      <c r="C179" s="467">
        <v>118598</v>
      </c>
      <c r="D179" s="466">
        <v>12</v>
      </c>
      <c r="E179" s="467">
        <f t="shared" si="159"/>
        <v>1423176</v>
      </c>
      <c r="F179" s="467"/>
      <c r="G179" s="468">
        <v>87934.08</v>
      </c>
      <c r="H179" s="470"/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U179" s="467"/>
      <c r="V179" s="467">
        <f t="shared" si="171"/>
        <v>94229.0304</v>
      </c>
      <c r="W179" s="474">
        <v>12</v>
      </c>
      <c r="X179" s="467">
        <f t="shared" si="172"/>
        <v>7852.4192</v>
      </c>
      <c r="Y179" s="470"/>
      <c r="Z179" s="467">
        <f t="shared" si="173"/>
        <v>7852.4192</v>
      </c>
      <c r="AA179" s="479">
        <v>4227.52372266667</v>
      </c>
      <c r="AB179" s="479">
        <f t="shared" si="174"/>
        <v>3624.89547733333</v>
      </c>
      <c r="AC179" s="479"/>
      <c r="AD179" s="479"/>
      <c r="AE179" s="479"/>
    </row>
    <row r="180" ht="18" spans="1:31">
      <c r="A180" s="475"/>
      <c r="B180" s="11" t="s">
        <v>385</v>
      </c>
      <c r="C180" s="483">
        <v>115598</v>
      </c>
      <c r="D180" s="466">
        <v>12</v>
      </c>
      <c r="E180" s="467">
        <f t="shared" si="159"/>
        <v>1387176</v>
      </c>
      <c r="F180" s="467"/>
      <c r="G180" s="468">
        <v>87934.08</v>
      </c>
      <c r="H180" s="470"/>
      <c r="I180" s="467">
        <f t="shared" si="160"/>
        <v>1299241.92</v>
      </c>
      <c r="J180" s="467">
        <v>200000</v>
      </c>
      <c r="K180" s="467">
        <v>0.2</v>
      </c>
      <c r="L180" s="467">
        <f t="shared" si="161"/>
        <v>259848.384</v>
      </c>
      <c r="M180" s="467">
        <f t="shared" si="162"/>
        <v>459848.384</v>
      </c>
      <c r="N180" s="467">
        <f t="shared" si="163"/>
        <v>547782.464</v>
      </c>
      <c r="O180" s="467">
        <f t="shared" si="164"/>
        <v>839393.536</v>
      </c>
      <c r="P180" s="467">
        <f t="shared" si="165"/>
        <v>21000</v>
      </c>
      <c r="Q180" s="467">
        <f t="shared" si="166"/>
        <v>33000</v>
      </c>
      <c r="R180" s="467">
        <f t="shared" si="167"/>
        <v>35909.0304</v>
      </c>
      <c r="S180" s="467">
        <f t="shared" si="168"/>
        <v>0</v>
      </c>
      <c r="T180" s="467">
        <f t="shared" si="169"/>
        <v>0</v>
      </c>
      <c r="U180" s="467"/>
      <c r="V180" s="467">
        <f t="shared" si="171"/>
        <v>89909.0304</v>
      </c>
      <c r="W180" s="474">
        <v>12</v>
      </c>
      <c r="X180" s="467">
        <f t="shared" si="172"/>
        <v>7492.4192</v>
      </c>
      <c r="Y180" s="470"/>
      <c r="Z180" s="467">
        <f t="shared" si="173"/>
        <v>7492.4192</v>
      </c>
      <c r="AA180" s="479">
        <v>3963.52372266667</v>
      </c>
      <c r="AB180" s="479">
        <f t="shared" si="174"/>
        <v>3528.89547733333</v>
      </c>
      <c r="AC180" s="479"/>
      <c r="AD180" s="479"/>
      <c r="AE180" s="479"/>
    </row>
    <row r="181" ht="18" spans="1:28">
      <c r="A181" s="475"/>
      <c r="B181" s="11" t="s">
        <v>386</v>
      </c>
      <c r="C181" s="483">
        <v>118598</v>
      </c>
      <c r="D181" s="466">
        <v>12</v>
      </c>
      <c r="E181" s="467">
        <f t="shared" si="159"/>
        <v>1423176</v>
      </c>
      <c r="F181" s="467"/>
      <c r="G181" s="468">
        <v>87934.08</v>
      </c>
      <c r="H181" s="470"/>
      <c r="I181" s="467">
        <f t="shared" si="160"/>
        <v>1335241.92</v>
      </c>
      <c r="J181" s="467">
        <v>200000</v>
      </c>
      <c r="K181" s="467">
        <v>0.2</v>
      </c>
      <c r="L181" s="467">
        <f t="shared" si="161"/>
        <v>267048.384</v>
      </c>
      <c r="M181" s="467">
        <f t="shared" si="162"/>
        <v>467048.384</v>
      </c>
      <c r="N181" s="467">
        <f t="shared" si="163"/>
        <v>554982.464</v>
      </c>
      <c r="O181" s="467">
        <f t="shared" si="164"/>
        <v>868193.536</v>
      </c>
      <c r="P181" s="467">
        <f t="shared" si="165"/>
        <v>21000</v>
      </c>
      <c r="Q181" s="467">
        <f t="shared" si="166"/>
        <v>33000</v>
      </c>
      <c r="R181" s="467">
        <f t="shared" si="167"/>
        <v>40229.0304</v>
      </c>
      <c r="S181" s="467">
        <f t="shared" si="168"/>
        <v>0</v>
      </c>
      <c r="T181" s="467">
        <f t="shared" si="169"/>
        <v>0</v>
      </c>
      <c r="U181" s="467"/>
      <c r="V181" s="467">
        <f t="shared" si="171"/>
        <v>94229.0304</v>
      </c>
      <c r="W181" s="474">
        <v>12</v>
      </c>
      <c r="X181" s="467">
        <f t="shared" si="172"/>
        <v>7852.4192</v>
      </c>
      <c r="Y181" s="470"/>
      <c r="Z181" s="467">
        <f t="shared" si="173"/>
        <v>7852.4192</v>
      </c>
      <c r="AA181" s="479">
        <v>4227.52372266667</v>
      </c>
      <c r="AB181" s="479">
        <f t="shared" si="174"/>
        <v>3624.89547733333</v>
      </c>
    </row>
    <row r="182" ht="18" spans="2:28">
      <c r="B182" s="18" t="s">
        <v>387</v>
      </c>
      <c r="C182" s="479">
        <v>115598</v>
      </c>
      <c r="D182" s="466">
        <v>12</v>
      </c>
      <c r="E182" s="467">
        <f t="shared" si="159"/>
        <v>1387176</v>
      </c>
      <c r="G182" s="468">
        <v>87934.08</v>
      </c>
      <c r="I182" s="467">
        <f t="shared" si="160"/>
        <v>1299241.92</v>
      </c>
      <c r="J182" s="467">
        <v>200000</v>
      </c>
      <c r="K182" s="467">
        <v>0.2</v>
      </c>
      <c r="L182" s="467">
        <f t="shared" si="161"/>
        <v>259848.384</v>
      </c>
      <c r="M182" s="467">
        <f t="shared" si="162"/>
        <v>459848.384</v>
      </c>
      <c r="N182" s="467">
        <f t="shared" si="163"/>
        <v>547782.464</v>
      </c>
      <c r="O182" s="467">
        <f t="shared" si="164"/>
        <v>839393.536</v>
      </c>
      <c r="P182" s="467">
        <f t="shared" si="165"/>
        <v>21000</v>
      </c>
      <c r="Q182" s="467">
        <f t="shared" si="166"/>
        <v>33000</v>
      </c>
      <c r="R182" s="467">
        <f t="shared" si="167"/>
        <v>35909.0304</v>
      </c>
      <c r="S182" s="467">
        <f t="shared" si="168"/>
        <v>0</v>
      </c>
      <c r="T182" s="467">
        <f t="shared" si="169"/>
        <v>0</v>
      </c>
      <c r="U182" s="467"/>
      <c r="V182" s="467">
        <f t="shared" si="171"/>
        <v>89909.0304</v>
      </c>
      <c r="W182" s="474">
        <v>12</v>
      </c>
      <c r="X182" s="467">
        <f t="shared" si="172"/>
        <v>7492.4192</v>
      </c>
      <c r="Z182" s="467">
        <f t="shared" si="173"/>
        <v>7492.4192</v>
      </c>
      <c r="AA182" s="479">
        <v>3963.52372266667</v>
      </c>
      <c r="AB182" s="479">
        <f t="shared" si="174"/>
        <v>3528.89547733333</v>
      </c>
    </row>
    <row r="183" ht="18" spans="2:28">
      <c r="B183" s="18" t="s">
        <v>389</v>
      </c>
      <c r="C183" s="479">
        <v>118598</v>
      </c>
      <c r="D183" s="466">
        <v>12</v>
      </c>
      <c r="E183" s="467">
        <f t="shared" si="159"/>
        <v>1423176</v>
      </c>
      <c r="G183" s="468">
        <v>87934.08</v>
      </c>
      <c r="I183" s="467">
        <f t="shared" si="160"/>
        <v>1335241.92</v>
      </c>
      <c r="J183" s="467">
        <v>200000</v>
      </c>
      <c r="K183" s="467">
        <v>0.2</v>
      </c>
      <c r="L183" s="467">
        <f t="shared" si="161"/>
        <v>267048.384</v>
      </c>
      <c r="M183" s="467">
        <f t="shared" si="162"/>
        <v>467048.384</v>
      </c>
      <c r="N183" s="467">
        <f t="shared" si="163"/>
        <v>554982.464</v>
      </c>
      <c r="O183" s="467">
        <f t="shared" si="164"/>
        <v>868193.536</v>
      </c>
      <c r="P183" s="467">
        <f t="shared" si="165"/>
        <v>21000</v>
      </c>
      <c r="Q183" s="467">
        <f t="shared" si="166"/>
        <v>33000</v>
      </c>
      <c r="R183" s="467">
        <f t="shared" si="167"/>
        <v>40229.0304</v>
      </c>
      <c r="S183" s="467">
        <f t="shared" si="168"/>
        <v>0</v>
      </c>
      <c r="T183" s="467">
        <f t="shared" si="169"/>
        <v>0</v>
      </c>
      <c r="U183" s="467"/>
      <c r="V183" s="467">
        <f t="shared" si="171"/>
        <v>94229.0304</v>
      </c>
      <c r="W183" s="474">
        <v>12</v>
      </c>
      <c r="X183" s="467">
        <f t="shared" si="172"/>
        <v>7852.4192</v>
      </c>
      <c r="Z183" s="467">
        <f t="shared" si="173"/>
        <v>7852.4192</v>
      </c>
      <c r="AA183" s="479">
        <v>4227.52372266667</v>
      </c>
      <c r="AB183" s="479">
        <f t="shared" si="174"/>
        <v>3624.89547733333</v>
      </c>
    </row>
    <row r="184" ht="18" spans="2:28">
      <c r="B184" s="11" t="s">
        <v>572</v>
      </c>
      <c r="C184" s="479">
        <v>118598</v>
      </c>
      <c r="D184" s="466">
        <v>12</v>
      </c>
      <c r="E184" s="467">
        <f t="shared" si="159"/>
        <v>1423176</v>
      </c>
      <c r="G184" s="468">
        <v>87934.08</v>
      </c>
      <c r="I184" s="467">
        <f t="shared" si="160"/>
        <v>1335241.92</v>
      </c>
      <c r="J184" s="467">
        <v>200000</v>
      </c>
      <c r="K184" s="467">
        <v>0.2</v>
      </c>
      <c r="L184" s="467">
        <f t="shared" si="161"/>
        <v>267048.384</v>
      </c>
      <c r="M184" s="467">
        <f t="shared" si="162"/>
        <v>467048.384</v>
      </c>
      <c r="N184" s="467">
        <f t="shared" si="163"/>
        <v>554982.464</v>
      </c>
      <c r="O184" s="467">
        <f t="shared" si="164"/>
        <v>868193.536</v>
      </c>
      <c r="P184" s="467">
        <f t="shared" si="165"/>
        <v>21000</v>
      </c>
      <c r="Q184" s="467">
        <f t="shared" si="166"/>
        <v>33000</v>
      </c>
      <c r="R184" s="467">
        <f t="shared" si="167"/>
        <v>40229.0304</v>
      </c>
      <c r="S184" s="467">
        <f t="shared" si="168"/>
        <v>0</v>
      </c>
      <c r="T184" s="467">
        <f t="shared" si="169"/>
        <v>0</v>
      </c>
      <c r="V184" s="467">
        <f t="shared" si="171"/>
        <v>94229.0304</v>
      </c>
      <c r="W184" s="474">
        <v>12</v>
      </c>
      <c r="X184" s="467">
        <f t="shared" si="172"/>
        <v>7852.4192</v>
      </c>
      <c r="Z184" s="467">
        <f t="shared" si="173"/>
        <v>7852.4192</v>
      </c>
      <c r="AA184" s="479">
        <v>4089.71669066667</v>
      </c>
      <c r="AB184" s="479">
        <f t="shared" si="174"/>
        <v>3762.70250933333</v>
      </c>
    </row>
    <row r="185" ht="18" spans="2:28">
      <c r="B185" s="11" t="s">
        <v>392</v>
      </c>
      <c r="C185" s="479">
        <v>118598</v>
      </c>
      <c r="D185" s="466">
        <v>12</v>
      </c>
      <c r="E185" s="467">
        <f t="shared" si="159"/>
        <v>1423176</v>
      </c>
      <c r="G185" s="468">
        <v>87934.08</v>
      </c>
      <c r="I185" s="467">
        <f t="shared" si="160"/>
        <v>1335241.92</v>
      </c>
      <c r="J185" s="467">
        <v>200000</v>
      </c>
      <c r="K185" s="467">
        <v>0.2</v>
      </c>
      <c r="L185" s="467">
        <f t="shared" si="161"/>
        <v>267048.384</v>
      </c>
      <c r="M185" s="467">
        <f t="shared" si="162"/>
        <v>467048.384</v>
      </c>
      <c r="N185" s="467">
        <f t="shared" si="163"/>
        <v>554982.464</v>
      </c>
      <c r="O185" s="467">
        <f t="shared" si="164"/>
        <v>868193.536</v>
      </c>
      <c r="P185" s="467">
        <f t="shared" si="165"/>
        <v>21000</v>
      </c>
      <c r="Q185" s="467">
        <f t="shared" si="166"/>
        <v>33000</v>
      </c>
      <c r="R185" s="467">
        <f t="shared" si="167"/>
        <v>40229.0304</v>
      </c>
      <c r="S185" s="467">
        <f t="shared" si="168"/>
        <v>0</v>
      </c>
      <c r="T185" s="467">
        <f t="shared" si="169"/>
        <v>0</v>
      </c>
      <c r="V185" s="467">
        <f t="shared" si="171"/>
        <v>94229.0304</v>
      </c>
      <c r="W185" s="474">
        <v>12</v>
      </c>
      <c r="X185" s="467">
        <f t="shared" si="172"/>
        <v>7852.4192</v>
      </c>
      <c r="Z185" s="467">
        <f t="shared" si="173"/>
        <v>7852.4192</v>
      </c>
      <c r="AA185" s="479">
        <v>4227.52372266667</v>
      </c>
      <c r="AB185" s="479">
        <f t="shared" si="174"/>
        <v>3624.89547733333</v>
      </c>
    </row>
    <row r="186" ht="18" spans="2:28">
      <c r="B186" s="18" t="s">
        <v>360</v>
      </c>
      <c r="C186" s="479">
        <v>116050.25</v>
      </c>
      <c r="D186" s="466">
        <v>12</v>
      </c>
      <c r="E186" s="467">
        <f t="shared" si="159"/>
        <v>1392603</v>
      </c>
      <c r="G186" s="468">
        <v>85488.24</v>
      </c>
      <c r="I186" s="467">
        <f t="shared" si="160"/>
        <v>1307114.76</v>
      </c>
      <c r="J186" s="467">
        <v>200000</v>
      </c>
      <c r="K186" s="467">
        <v>0.2</v>
      </c>
      <c r="L186" s="467">
        <f t="shared" si="161"/>
        <v>261422.952</v>
      </c>
      <c r="M186" s="467">
        <f t="shared" si="162"/>
        <v>461422.952</v>
      </c>
      <c r="N186" s="467">
        <f t="shared" si="163"/>
        <v>546911.192</v>
      </c>
      <c r="O186" s="467">
        <f t="shared" si="164"/>
        <v>845691.808</v>
      </c>
      <c r="P186" s="467">
        <f t="shared" si="165"/>
        <v>21000</v>
      </c>
      <c r="Q186" s="467">
        <f t="shared" si="166"/>
        <v>33000</v>
      </c>
      <c r="R186" s="467">
        <f t="shared" si="167"/>
        <v>36853.7712</v>
      </c>
      <c r="S186" s="467">
        <f t="shared" si="168"/>
        <v>0</v>
      </c>
      <c r="T186" s="467">
        <f t="shared" si="169"/>
        <v>0</v>
      </c>
      <c r="V186" s="467">
        <f t="shared" si="171"/>
        <v>90853.7712</v>
      </c>
      <c r="W186" s="474">
        <v>12</v>
      </c>
      <c r="X186" s="467">
        <f t="shared" si="172"/>
        <v>7571.1476</v>
      </c>
      <c r="Z186" s="467">
        <f t="shared" si="173"/>
        <v>7571.1476</v>
      </c>
      <c r="AA186" s="479">
        <v>4089.71669066667</v>
      </c>
      <c r="AB186" s="479">
        <f t="shared" si="174"/>
        <v>3481.43090933333</v>
      </c>
    </row>
    <row r="187" ht="18" spans="2:28">
      <c r="B187" s="18" t="s">
        <v>397</v>
      </c>
      <c r="C187" s="479">
        <v>102926.916666667</v>
      </c>
      <c r="D187" s="466">
        <v>12</v>
      </c>
      <c r="E187" s="467">
        <f t="shared" si="159"/>
        <v>1235123</v>
      </c>
      <c r="G187" s="468">
        <v>77689.84</v>
      </c>
      <c r="I187" s="467">
        <f t="shared" si="160"/>
        <v>1157433.16</v>
      </c>
      <c r="J187" s="467">
        <v>200000</v>
      </c>
      <c r="K187" s="467">
        <v>0.2</v>
      </c>
      <c r="L187" s="467">
        <f t="shared" si="161"/>
        <v>231486.632000001</v>
      </c>
      <c r="M187" s="467">
        <f t="shared" si="162"/>
        <v>431486.632000001</v>
      </c>
      <c r="N187" s="467">
        <f t="shared" si="163"/>
        <v>509176.472000001</v>
      </c>
      <c r="O187" s="467">
        <f t="shared" si="164"/>
        <v>725946.528000003</v>
      </c>
      <c r="P187" s="467">
        <f t="shared" si="165"/>
        <v>21000</v>
      </c>
      <c r="Q187" s="467">
        <f t="shared" si="166"/>
        <v>33000</v>
      </c>
      <c r="R187" s="467">
        <f t="shared" si="167"/>
        <v>18891.9792000005</v>
      </c>
      <c r="S187" s="467">
        <f t="shared" si="168"/>
        <v>0</v>
      </c>
      <c r="T187" s="467">
        <f t="shared" si="169"/>
        <v>0</v>
      </c>
      <c r="V187" s="467">
        <f t="shared" si="171"/>
        <v>72891.9792000005</v>
      </c>
      <c r="W187" s="474">
        <v>12</v>
      </c>
      <c r="X187" s="467">
        <f t="shared" si="172"/>
        <v>6074.33160000004</v>
      </c>
      <c r="Z187" s="467">
        <f t="shared" si="173"/>
        <v>6074.33160000004</v>
      </c>
      <c r="AA187" s="479">
        <v>3210.15440486667</v>
      </c>
      <c r="AB187" s="479">
        <f t="shared" si="174"/>
        <v>2864.17719513337</v>
      </c>
    </row>
    <row r="188" ht="18" spans="2:28">
      <c r="B188" s="18" t="s">
        <v>401</v>
      </c>
      <c r="C188" s="479">
        <v>95540.75</v>
      </c>
      <c r="D188" s="466">
        <v>12</v>
      </c>
      <c r="E188" s="467">
        <f t="shared" si="159"/>
        <v>1146489</v>
      </c>
      <c r="G188" s="468">
        <f t="shared" ref="G188:G190" si="176">6123.26*12</f>
        <v>73479.12</v>
      </c>
      <c r="I188" s="467">
        <f t="shared" si="160"/>
        <v>1073009.88</v>
      </c>
      <c r="J188" s="467">
        <v>200000</v>
      </c>
      <c r="K188" s="467">
        <v>0.2</v>
      </c>
      <c r="L188" s="467">
        <f t="shared" si="161"/>
        <v>214601.976</v>
      </c>
      <c r="M188" s="467">
        <f t="shared" si="162"/>
        <v>414601.976</v>
      </c>
      <c r="N188" s="467">
        <f t="shared" si="163"/>
        <v>488081.096</v>
      </c>
      <c r="O188" s="467">
        <f t="shared" si="164"/>
        <v>658407.904</v>
      </c>
      <c r="P188" s="467">
        <f t="shared" si="165"/>
        <v>21000</v>
      </c>
      <c r="Q188" s="467">
        <f t="shared" si="166"/>
        <v>33000</v>
      </c>
      <c r="R188" s="467">
        <f t="shared" si="167"/>
        <v>8761.1856</v>
      </c>
      <c r="S188" s="467">
        <f t="shared" si="168"/>
        <v>0</v>
      </c>
      <c r="T188" s="467">
        <f t="shared" si="169"/>
        <v>0</v>
      </c>
      <c r="V188" s="467">
        <f t="shared" si="171"/>
        <v>62761.1856</v>
      </c>
      <c r="W188" s="474">
        <v>12</v>
      </c>
      <c r="X188" s="467">
        <f t="shared" si="172"/>
        <v>5230.0988</v>
      </c>
      <c r="Z188" s="467">
        <f t="shared" si="173"/>
        <v>5230.0988</v>
      </c>
      <c r="AA188" s="479">
        <v>2708.91364066667</v>
      </c>
      <c r="AB188" s="479">
        <f t="shared" si="174"/>
        <v>2521.18515933333</v>
      </c>
    </row>
    <row r="189" ht="18" spans="2:28">
      <c r="B189" s="18" t="s">
        <v>404</v>
      </c>
      <c r="C189" s="479">
        <v>95540.75</v>
      </c>
      <c r="D189" s="466">
        <v>12</v>
      </c>
      <c r="E189" s="467">
        <f t="shared" si="159"/>
        <v>1146489</v>
      </c>
      <c r="G189" s="468">
        <f t="shared" si="176"/>
        <v>73479.12</v>
      </c>
      <c r="I189" s="467">
        <f t="shared" si="160"/>
        <v>1073009.88</v>
      </c>
      <c r="J189" s="467">
        <v>200000</v>
      </c>
      <c r="K189" s="467">
        <v>0.2</v>
      </c>
      <c r="L189" s="467">
        <f t="shared" si="161"/>
        <v>214601.976</v>
      </c>
      <c r="M189" s="467">
        <f t="shared" si="162"/>
        <v>414601.976</v>
      </c>
      <c r="N189" s="467">
        <f t="shared" si="163"/>
        <v>488081.096</v>
      </c>
      <c r="O189" s="467">
        <f t="shared" si="164"/>
        <v>658407.904</v>
      </c>
      <c r="P189" s="467">
        <f t="shared" si="165"/>
        <v>21000</v>
      </c>
      <c r="Q189" s="467">
        <f t="shared" si="166"/>
        <v>33000</v>
      </c>
      <c r="R189" s="467">
        <f t="shared" si="167"/>
        <v>8761.1856</v>
      </c>
      <c r="S189" s="467">
        <f t="shared" si="168"/>
        <v>0</v>
      </c>
      <c r="T189" s="467">
        <f t="shared" si="169"/>
        <v>0</v>
      </c>
      <c r="V189" s="467">
        <f t="shared" si="171"/>
        <v>62761.1856</v>
      </c>
      <c r="W189" s="474">
        <v>12</v>
      </c>
      <c r="X189" s="467">
        <f t="shared" si="172"/>
        <v>5230.0988</v>
      </c>
      <c r="Z189" s="467">
        <f t="shared" si="173"/>
        <v>5230.0988</v>
      </c>
      <c r="AA189" s="479">
        <v>2708.91364066667</v>
      </c>
      <c r="AB189" s="479">
        <f t="shared" si="174"/>
        <v>2521.18515933333</v>
      </c>
    </row>
    <row r="190" ht="18" spans="2:28">
      <c r="B190" s="18" t="s">
        <v>405</v>
      </c>
      <c r="C190" s="479">
        <v>95540.75</v>
      </c>
      <c r="D190" s="466">
        <v>12</v>
      </c>
      <c r="E190" s="467">
        <f t="shared" si="159"/>
        <v>1146489</v>
      </c>
      <c r="G190" s="468">
        <f t="shared" si="176"/>
        <v>73479.12</v>
      </c>
      <c r="I190" s="467">
        <f t="shared" si="160"/>
        <v>1073009.88</v>
      </c>
      <c r="J190" s="467">
        <v>200000</v>
      </c>
      <c r="K190" s="467">
        <v>0.2</v>
      </c>
      <c r="L190" s="467">
        <f t="shared" si="161"/>
        <v>214601.976</v>
      </c>
      <c r="M190" s="467">
        <f t="shared" si="162"/>
        <v>414601.976</v>
      </c>
      <c r="N190" s="467">
        <f t="shared" si="163"/>
        <v>488081.096</v>
      </c>
      <c r="O190" s="467">
        <f t="shared" si="164"/>
        <v>658407.904</v>
      </c>
      <c r="P190" s="467">
        <f t="shared" si="165"/>
        <v>21000</v>
      </c>
      <c r="Q190" s="467">
        <f t="shared" si="166"/>
        <v>33000</v>
      </c>
      <c r="R190" s="467">
        <f t="shared" si="167"/>
        <v>8761.1856</v>
      </c>
      <c r="S190" s="467">
        <f t="shared" si="168"/>
        <v>0</v>
      </c>
      <c r="T190" s="467">
        <f t="shared" si="169"/>
        <v>0</v>
      </c>
      <c r="V190" s="467">
        <f t="shared" si="171"/>
        <v>62761.1856</v>
      </c>
      <c r="W190" s="474">
        <v>12</v>
      </c>
      <c r="X190" s="467">
        <f t="shared" si="172"/>
        <v>5230.0988</v>
      </c>
      <c r="Z190" s="467">
        <f t="shared" si="173"/>
        <v>5230.0988</v>
      </c>
      <c r="AA190" s="479">
        <v>2708.91364066667</v>
      </c>
      <c r="AB190" s="479">
        <f t="shared" si="174"/>
        <v>2521.18515933333</v>
      </c>
    </row>
    <row r="191" ht="18" spans="2:28">
      <c r="B191" s="484" t="s">
        <v>406</v>
      </c>
      <c r="C191" s="479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67">
        <v>200000</v>
      </c>
      <c r="K191" s="467">
        <v>0.2</v>
      </c>
      <c r="L191" s="467">
        <f t="shared" si="161"/>
        <v>243797.52</v>
      </c>
      <c r="M191" s="467">
        <f t="shared" si="162"/>
        <v>443797.52</v>
      </c>
      <c r="N191" s="467">
        <f t="shared" si="163"/>
        <v>526839.92</v>
      </c>
      <c r="O191" s="467">
        <f t="shared" si="164"/>
        <v>775190.08</v>
      </c>
      <c r="P191" s="467">
        <f t="shared" si="165"/>
        <v>21000</v>
      </c>
      <c r="Q191" s="467">
        <f t="shared" si="166"/>
        <v>33000</v>
      </c>
      <c r="R191" s="467">
        <f t="shared" si="167"/>
        <v>26278.512</v>
      </c>
      <c r="S191" s="467">
        <f t="shared" si="168"/>
        <v>0</v>
      </c>
      <c r="T191" s="467">
        <f t="shared" si="169"/>
        <v>0</v>
      </c>
      <c r="V191" s="467">
        <f t="shared" si="171"/>
        <v>80278.512</v>
      </c>
      <c r="W191" s="474">
        <v>12</v>
      </c>
      <c r="X191" s="467">
        <f t="shared" si="172"/>
        <v>6689.876</v>
      </c>
      <c r="Z191" s="467">
        <f t="shared" si="173"/>
        <v>6689.876</v>
      </c>
      <c r="AA191" s="479">
        <v>3511.79662266667</v>
      </c>
      <c r="AB191" s="479">
        <f t="shared" si="174"/>
        <v>3178.07937733333</v>
      </c>
    </row>
    <row r="192" ht="18" spans="2:28">
      <c r="B192" s="484" t="s">
        <v>409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500">
        <v>12</v>
      </c>
      <c r="X192" s="486">
        <f t="shared" si="172"/>
        <v>6689.876</v>
      </c>
      <c r="Z192" s="486">
        <f t="shared" si="173"/>
        <v>6689.876</v>
      </c>
      <c r="AA192" s="479">
        <v>3511.79662266667</v>
      </c>
      <c r="AB192" s="479">
        <f t="shared" si="174"/>
        <v>3178.07937733333</v>
      </c>
    </row>
    <row r="193" ht="35.25" customHeight="1" spans="2:28">
      <c r="B193" s="8" t="s">
        <v>938</v>
      </c>
      <c r="C193" s="617">
        <f>SUM(C6:C192)</f>
        <v>71132716.6392716</v>
      </c>
      <c r="D193" s="618"/>
      <c r="E193" s="469"/>
      <c r="F193" s="619">
        <f>SUM(F6:F192)</f>
        <v>276375.747</v>
      </c>
      <c r="G193" s="619">
        <f>SUM(G6:G192)</f>
        <v>56238065.2832</v>
      </c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19">
        <f>SUM(V6:V192)</f>
        <v>116900305.455643</v>
      </c>
      <c r="W193" s="619"/>
      <c r="X193" s="619">
        <f>SUM(X6:X192)</f>
        <v>9741692.12130362</v>
      </c>
      <c r="Y193" s="619"/>
      <c r="Z193" s="619">
        <f>SUM(Z6:Z192)</f>
        <v>9741692.12130362</v>
      </c>
      <c r="AA193" s="620"/>
      <c r="AB193" s="620"/>
    </row>
    <row r="194" ht="26.25" customHeight="1" spans="2:28">
      <c r="B194" s="30" t="s">
        <v>939</v>
      </c>
      <c r="C194" s="617"/>
      <c r="D194" s="618"/>
      <c r="E194" s="618"/>
      <c r="F194" s="621">
        <f>F193/12</f>
        <v>23031.31225</v>
      </c>
      <c r="G194" s="621">
        <f>G193/12</f>
        <v>4686505.44026666</v>
      </c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1">
        <f>V193/12</f>
        <v>9741692.1213036</v>
      </c>
      <c r="W194" s="618"/>
      <c r="X194" s="618"/>
      <c r="Y194" s="618"/>
      <c r="Z194" s="618"/>
      <c r="AA194" s="620"/>
      <c r="AB194" s="620"/>
    </row>
    <row r="195" ht="17.5" spans="2:6">
      <c r="B195" s="33"/>
      <c r="C195" s="479"/>
      <c r="F195" s="498"/>
    </row>
    <row r="196" ht="13" spans="6:26">
      <c r="F196" s="499"/>
      <c r="Z196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91" t="s">
        <v>2</v>
      </c>
      <c r="C4" s="692" t="s">
        <v>3</v>
      </c>
      <c r="D4" s="693" t="s">
        <v>4</v>
      </c>
      <c r="E4" s="684" t="s">
        <v>5</v>
      </c>
      <c r="F4" s="684" t="s">
        <v>7</v>
      </c>
      <c r="G4" s="684" t="s">
        <v>8</v>
      </c>
      <c r="H4" s="694" t="s">
        <v>9</v>
      </c>
      <c r="I4" s="684" t="s">
        <v>999</v>
      </c>
      <c r="J4" s="684" t="s">
        <v>16</v>
      </c>
      <c r="K4" s="695" t="s">
        <v>17</v>
      </c>
      <c r="L4" s="696" t="s">
        <v>1000</v>
      </c>
    </row>
    <row r="5" s="1" customFormat="1" ht="37.5" customHeight="1" spans="1:13">
      <c r="A5" s="1">
        <v>1</v>
      </c>
      <c r="B5" s="351" t="s">
        <v>394</v>
      </c>
      <c r="C5" s="83" t="s">
        <v>395</v>
      </c>
      <c r="D5" s="15" t="s">
        <v>400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1001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93</v>
      </c>
      <c r="C7" s="83" t="s">
        <v>94</v>
      </c>
      <c r="D7" s="15" t="s">
        <v>1002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'JANUARY 2026'!Q33</f>
        <v>27761.2933333333</v>
      </c>
      <c r="K7" s="510">
        <f>I7+J7</f>
        <v>64551.9814333333</v>
      </c>
      <c r="L7" s="509">
        <f t="shared" si="1"/>
        <v>251297.018566667</v>
      </c>
    </row>
    <row r="8" ht="28.5" customHeight="1" spans="1:12">
      <c r="A8" s="1"/>
      <c r="B8" s="22" t="s">
        <v>120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291119.601147312</v>
      </c>
    </row>
  </sheetData>
  <pageMargins left="0.7" right="0.7" top="0.75" bottom="0.75" header="0.3" footer="0.3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8" t="s">
        <v>1003</v>
      </c>
      <c r="B1" s="688"/>
      <c r="C1" s="688"/>
      <c r="D1" s="688"/>
      <c r="E1" s="688"/>
      <c r="F1" s="688"/>
    </row>
    <row r="2" ht="48.95" customHeight="1" spans="1:6">
      <c r="A2" s="68" t="s">
        <v>21</v>
      </c>
      <c r="B2" s="42" t="s">
        <v>472</v>
      </c>
      <c r="C2" s="689" t="s">
        <v>4</v>
      </c>
      <c r="D2" s="259" t="s">
        <v>1004</v>
      </c>
      <c r="E2" s="259" t="s">
        <v>1005</v>
      </c>
      <c r="F2" s="259" t="s">
        <v>1006</v>
      </c>
    </row>
    <row r="3" ht="30" customHeight="1" spans="1:6">
      <c r="A3" s="49">
        <v>1</v>
      </c>
      <c r="B3" s="43" t="s">
        <v>1007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1008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1009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1010</v>
      </c>
      <c r="C6" s="1089" t="s">
        <v>885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1011</v>
      </c>
      <c r="C7" s="1089" t="s">
        <v>887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1012</v>
      </c>
      <c r="C8" s="1089" t="s">
        <v>887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1013</v>
      </c>
      <c r="C9" s="1089" t="s">
        <v>887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1014</v>
      </c>
      <c r="C10" s="1089" t="s">
        <v>887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120</v>
      </c>
      <c r="C11" s="42"/>
      <c r="D11" s="690">
        <f>SUM(D3:D10)</f>
        <v>4760000</v>
      </c>
      <c r="E11" s="690">
        <f t="shared" ref="E11:F11" si="3">SUM(E3:E10)</f>
        <v>725370.68</v>
      </c>
      <c r="F11" s="690">
        <f t="shared" si="3"/>
        <v>4034629.32</v>
      </c>
    </row>
    <row r="14" ht="52.5" spans="1:6">
      <c r="A14" s="68" t="s">
        <v>21</v>
      </c>
      <c r="B14" s="42" t="s">
        <v>472</v>
      </c>
      <c r="C14" s="689" t="s">
        <v>4</v>
      </c>
      <c r="D14" s="259" t="s">
        <v>1004</v>
      </c>
      <c r="E14" s="259" t="s">
        <v>1005</v>
      </c>
      <c r="F14" s="259" t="s">
        <v>1006</v>
      </c>
    </row>
    <row r="15" ht="36" spans="2:6">
      <c r="B15" s="198" t="s">
        <v>1015</v>
      </c>
      <c r="C15" s="1089" t="s">
        <v>885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1016</v>
      </c>
      <c r="C16" s="1089" t="s">
        <v>891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120</v>
      </c>
      <c r="C17" s="42"/>
      <c r="D17" s="690">
        <f>SUM(D15:D16)</f>
        <v>840000</v>
      </c>
      <c r="E17" s="690">
        <f t="shared" ref="E17:F17" si="8">SUM(E15:E16)</f>
        <v>117459.55</v>
      </c>
      <c r="F17" s="690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21</v>
      </c>
      <c r="B1" s="90" t="s">
        <v>2</v>
      </c>
      <c r="C1" s="90" t="s">
        <v>3</v>
      </c>
      <c r="D1" s="671" t="s">
        <v>4</v>
      </c>
      <c r="E1" s="90" t="s">
        <v>756</v>
      </c>
      <c r="F1" s="671" t="s">
        <v>757</v>
      </c>
      <c r="G1" s="671" t="s">
        <v>758</v>
      </c>
      <c r="H1" s="671" t="s">
        <v>9</v>
      </c>
      <c r="I1" s="682" t="s">
        <v>432</v>
      </c>
      <c r="J1" s="682"/>
      <c r="K1" s="682"/>
      <c r="L1" s="682"/>
      <c r="M1" s="682"/>
      <c r="N1" s="683" t="s">
        <v>1017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1018</v>
      </c>
      <c r="J2" s="684" t="s">
        <v>1019</v>
      </c>
      <c r="K2" s="684" t="s">
        <v>763</v>
      </c>
      <c r="L2" s="684" t="s">
        <v>1020</v>
      </c>
      <c r="M2" s="684" t="s">
        <v>17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1021</v>
      </c>
      <c r="C5" s="43" t="s">
        <v>1022</v>
      </c>
      <c r="D5" s="49" t="s">
        <v>276</v>
      </c>
      <c r="E5" s="676">
        <f>'[3]Annual &amp; Monthly'!$H$36</f>
        <v>218287.583333333</v>
      </c>
      <c r="F5" s="677">
        <v>50000</v>
      </c>
      <c r="G5" s="677"/>
      <c r="H5" s="678">
        <f t="shared" ref="H5:H8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8" si="1">H5-M5</f>
        <v>221519.38112</v>
      </c>
    </row>
    <row r="6" ht="18" spans="1:14">
      <c r="A6" s="4">
        <v>2</v>
      </c>
      <c r="B6" s="11" t="s">
        <v>1023</v>
      </c>
      <c r="C6" s="43" t="s">
        <v>1024</v>
      </c>
      <c r="D6" s="49" t="s">
        <v>276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7" si="2">218287.583333333*0.08</f>
        <v>17463.0066666666</v>
      </c>
      <c r="M6" s="687">
        <f t="shared" ref="M6:M8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1025</v>
      </c>
      <c r="C7" s="43" t="s">
        <v>1026</v>
      </c>
      <c r="D7" s="49" t="s">
        <v>276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9.5" customHeight="1" spans="1:14">
      <c r="A8" s="4">
        <v>5</v>
      </c>
      <c r="B8" s="11" t="s">
        <v>1027</v>
      </c>
      <c r="C8" s="11" t="s">
        <v>703</v>
      </c>
      <c r="D8" s="10" t="s">
        <v>41</v>
      </c>
      <c r="E8" s="85">
        <v>582118.083333333</v>
      </c>
      <c r="F8" s="85">
        <v>160000</v>
      </c>
      <c r="G8" s="220"/>
      <c r="H8" s="679">
        <f t="shared" si="0"/>
        <v>742118.083333333</v>
      </c>
      <c r="J8" s="85"/>
      <c r="K8" s="85">
        <v>112212.004906667</v>
      </c>
      <c r="L8" s="85">
        <v>46569.4466666667</v>
      </c>
      <c r="M8" s="687">
        <f t="shared" si="3"/>
        <v>158781.451573334</v>
      </c>
      <c r="N8" s="679">
        <f t="shared" si="1"/>
        <v>583336.631759999</v>
      </c>
    </row>
    <row r="9" ht="24" customHeight="1" spans="1:14">
      <c r="A9" s="10"/>
      <c r="B9" s="680" t="s">
        <v>120</v>
      </c>
      <c r="C9" s="20"/>
      <c r="D9" s="20"/>
      <c r="E9" s="681">
        <f t="shared" ref="E9:N9" si="4">SUM(E5:E8)</f>
        <v>1236980.83333333</v>
      </c>
      <c r="F9" s="681">
        <f t="shared" si="4"/>
        <v>310000</v>
      </c>
      <c r="G9" s="681">
        <f t="shared" si="4"/>
        <v>0</v>
      </c>
      <c r="H9" s="681">
        <f t="shared" si="4"/>
        <v>1546980.83333333</v>
      </c>
      <c r="I9" s="681">
        <f t="shared" si="4"/>
        <v>0</v>
      </c>
      <c r="J9" s="681">
        <f t="shared" si="4"/>
        <v>0</v>
      </c>
      <c r="K9" s="681">
        <f t="shared" si="4"/>
        <v>200127.591546667</v>
      </c>
      <c r="L9" s="681">
        <f t="shared" si="4"/>
        <v>98958.4666666666</v>
      </c>
      <c r="M9" s="681">
        <f t="shared" si="4"/>
        <v>299086.058213334</v>
      </c>
      <c r="N9" s="681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70" t="s">
        <v>21</v>
      </c>
      <c r="B1" s="90" t="s">
        <v>2</v>
      </c>
      <c r="C1" s="90" t="s">
        <v>3</v>
      </c>
      <c r="D1" s="671" t="s">
        <v>4</v>
      </c>
      <c r="E1" s="90" t="s">
        <v>756</v>
      </c>
      <c r="F1" s="671" t="s">
        <v>757</v>
      </c>
      <c r="G1" s="671" t="s">
        <v>758</v>
      </c>
      <c r="H1" s="671" t="s">
        <v>9</v>
      </c>
      <c r="I1" s="682" t="s">
        <v>432</v>
      </c>
      <c r="J1" s="682"/>
      <c r="K1" s="682"/>
      <c r="L1" s="682"/>
      <c r="M1" s="682"/>
      <c r="N1" s="683" t="s">
        <v>1017</v>
      </c>
    </row>
    <row r="2" ht="54.95" customHeight="1" spans="1:14">
      <c r="A2" s="670"/>
      <c r="B2" s="90"/>
      <c r="C2" s="90"/>
      <c r="D2" s="90"/>
      <c r="E2" s="90"/>
      <c r="F2" s="671"/>
      <c r="G2" s="671"/>
      <c r="H2" s="90"/>
      <c r="I2" s="684" t="s">
        <v>1018</v>
      </c>
      <c r="J2" s="684" t="s">
        <v>1019</v>
      </c>
      <c r="K2" s="684" t="s">
        <v>763</v>
      </c>
      <c r="L2" s="684" t="s">
        <v>1020</v>
      </c>
      <c r="M2" s="684" t="s">
        <v>17</v>
      </c>
      <c r="N2" s="683"/>
    </row>
    <row r="3" ht="17.5" spans="1:14">
      <c r="A3" s="9"/>
      <c r="B3" s="5"/>
      <c r="C3" s="5"/>
      <c r="D3" s="5"/>
      <c r="E3" s="5"/>
      <c r="F3" s="672"/>
      <c r="G3" s="672"/>
      <c r="H3" s="673"/>
      <c r="I3" s="672"/>
      <c r="J3" s="672"/>
      <c r="K3" s="672"/>
      <c r="L3" s="672"/>
      <c r="M3" s="672"/>
      <c r="N3" s="685"/>
    </row>
    <row r="4" ht="18" spans="1:14">
      <c r="A4" s="4"/>
      <c r="B4" s="4"/>
      <c r="C4" s="4"/>
      <c r="D4" s="4"/>
      <c r="E4" s="674" t="s">
        <v>20</v>
      </c>
      <c r="F4" s="674" t="s">
        <v>20</v>
      </c>
      <c r="G4" s="674" t="s">
        <v>20</v>
      </c>
      <c r="H4" s="675" t="s">
        <v>20</v>
      </c>
      <c r="I4" s="674" t="s">
        <v>20</v>
      </c>
      <c r="J4" s="674" t="s">
        <v>20</v>
      </c>
      <c r="K4" s="674" t="s">
        <v>20</v>
      </c>
      <c r="L4" s="674" t="s">
        <v>20</v>
      </c>
      <c r="M4" s="674" t="s">
        <v>20</v>
      </c>
      <c r="N4" s="675" t="s">
        <v>20</v>
      </c>
    </row>
    <row r="5" ht="18" spans="1:14">
      <c r="A5" s="4">
        <v>1</v>
      </c>
      <c r="B5" s="11" t="s">
        <v>1021</v>
      </c>
      <c r="C5" s="43" t="s">
        <v>1022</v>
      </c>
      <c r="D5" s="49" t="s">
        <v>276</v>
      </c>
      <c r="E5" s="676">
        <f>'[3]Annual &amp; Monthly'!$H$36</f>
        <v>218287.583333333</v>
      </c>
      <c r="F5" s="677">
        <v>50000</v>
      </c>
      <c r="G5" s="677"/>
      <c r="H5" s="678">
        <f t="shared" ref="H5:H9" si="0">E5+F5+G5</f>
        <v>268287.583333333</v>
      </c>
      <c r="I5" s="686"/>
      <c r="J5" s="686"/>
      <c r="K5" s="686">
        <v>29305.1955466667</v>
      </c>
      <c r="L5" s="687">
        <v>17463.0066666666</v>
      </c>
      <c r="M5" s="687">
        <f>I5+J5+K5+L5</f>
        <v>46768.2022133333</v>
      </c>
      <c r="N5" s="679">
        <f t="shared" ref="N5:N9" si="1">H5-M5</f>
        <v>221519.38112</v>
      </c>
    </row>
    <row r="6" ht="18" spans="1:14">
      <c r="A6" s="4">
        <v>2</v>
      </c>
      <c r="B6" s="11" t="s">
        <v>1023</v>
      </c>
      <c r="C6" s="43" t="s">
        <v>1024</v>
      </c>
      <c r="D6" s="49" t="s">
        <v>276</v>
      </c>
      <c r="E6" s="676">
        <f>'[3]Annual &amp; Monthly'!$H$36</f>
        <v>218287.583333333</v>
      </c>
      <c r="F6" s="677">
        <v>50000</v>
      </c>
      <c r="G6" s="677"/>
      <c r="H6" s="679">
        <f t="shared" si="0"/>
        <v>268287.583333333</v>
      </c>
      <c r="I6" s="686"/>
      <c r="J6" s="686"/>
      <c r="K6" s="686">
        <v>29305.1955466667</v>
      </c>
      <c r="L6" s="687">
        <f t="shared" ref="L6:L8" si="2">218287.583333333*0.08</f>
        <v>17463.0066666666</v>
      </c>
      <c r="M6" s="687">
        <f t="shared" ref="M6:M9" si="3">I6+J6+K6+L6</f>
        <v>46768.2022133333</v>
      </c>
      <c r="N6" s="679">
        <f t="shared" si="1"/>
        <v>221519.38112</v>
      </c>
    </row>
    <row r="7" ht="18" spans="1:14">
      <c r="A7" s="4">
        <v>3</v>
      </c>
      <c r="B7" s="11" t="s">
        <v>1025</v>
      </c>
      <c r="C7" s="43" t="s">
        <v>1026</v>
      </c>
      <c r="D7" s="49" t="s">
        <v>276</v>
      </c>
      <c r="E7" s="676">
        <f>'[3]Annual &amp; Monthly'!$H$36</f>
        <v>218287.583333333</v>
      </c>
      <c r="F7" s="677">
        <v>50000</v>
      </c>
      <c r="G7" s="677"/>
      <c r="H7" s="679">
        <f t="shared" si="0"/>
        <v>268287.583333333</v>
      </c>
      <c r="I7" s="686"/>
      <c r="J7" s="686"/>
      <c r="K7" s="686">
        <v>29305.1955466667</v>
      </c>
      <c r="L7" s="687">
        <f t="shared" si="2"/>
        <v>17463.0066666666</v>
      </c>
      <c r="M7" s="687">
        <f t="shared" si="3"/>
        <v>46768.2022133333</v>
      </c>
      <c r="N7" s="679">
        <f t="shared" si="1"/>
        <v>221519.38112</v>
      </c>
    </row>
    <row r="8" ht="18" spans="1:14">
      <c r="A8" s="4">
        <v>4</v>
      </c>
      <c r="B8" s="11" t="s">
        <v>1028</v>
      </c>
      <c r="C8" s="43" t="s">
        <v>1029</v>
      </c>
      <c r="D8" s="49" t="s">
        <v>276</v>
      </c>
      <c r="E8" s="676">
        <f>'[3]Annual &amp; Monthly'!$H$36</f>
        <v>218287.583333333</v>
      </c>
      <c r="F8" s="677">
        <v>50000</v>
      </c>
      <c r="G8" s="677"/>
      <c r="H8" s="679">
        <f t="shared" si="0"/>
        <v>268287.583333333</v>
      </c>
      <c r="I8" s="686"/>
      <c r="J8" s="686"/>
      <c r="K8" s="686">
        <v>29305.1955466667</v>
      </c>
      <c r="L8" s="687">
        <f t="shared" si="2"/>
        <v>17463.0066666666</v>
      </c>
      <c r="M8" s="687">
        <f t="shared" si="3"/>
        <v>46768.2022133333</v>
      </c>
      <c r="N8" s="679">
        <f t="shared" si="1"/>
        <v>221519.38112</v>
      </c>
    </row>
    <row r="9" ht="19.5" customHeight="1" spans="1:14">
      <c r="A9" s="4">
        <v>5</v>
      </c>
      <c r="B9" s="11" t="s">
        <v>1027</v>
      </c>
      <c r="C9" s="11" t="s">
        <v>703</v>
      </c>
      <c r="D9" s="10" t="s">
        <v>41</v>
      </c>
      <c r="E9" s="85">
        <v>582118.083333333</v>
      </c>
      <c r="F9" s="85">
        <v>160000</v>
      </c>
      <c r="G9" s="220"/>
      <c r="H9" s="679">
        <f t="shared" si="0"/>
        <v>742118.083333333</v>
      </c>
      <c r="J9" s="85"/>
      <c r="K9" s="85">
        <v>112212.004906667</v>
      </c>
      <c r="L9" s="85">
        <v>46569.4466666667</v>
      </c>
      <c r="M9" s="687">
        <f t="shared" si="3"/>
        <v>158781.451573334</v>
      </c>
      <c r="N9" s="679">
        <f t="shared" si="1"/>
        <v>583336.631759999</v>
      </c>
    </row>
    <row r="10" ht="24" customHeight="1" spans="1:14">
      <c r="A10" s="10"/>
      <c r="B10" s="680" t="s">
        <v>120</v>
      </c>
      <c r="C10" s="20"/>
      <c r="D10" s="20"/>
      <c r="E10" s="681">
        <f>SUM(E5:E9)</f>
        <v>1455268.41666667</v>
      </c>
      <c r="F10" s="681">
        <f t="shared" ref="F10:N10" si="4">SUM(F5:F9)</f>
        <v>360000</v>
      </c>
      <c r="G10" s="681">
        <f t="shared" si="4"/>
        <v>0</v>
      </c>
      <c r="H10" s="681">
        <f t="shared" si="4"/>
        <v>1815268.41666667</v>
      </c>
      <c r="I10" s="681">
        <f t="shared" si="4"/>
        <v>0</v>
      </c>
      <c r="J10" s="681">
        <f t="shared" si="4"/>
        <v>0</v>
      </c>
      <c r="K10" s="681">
        <f t="shared" si="4"/>
        <v>229432.787093334</v>
      </c>
      <c r="L10" s="681">
        <f t="shared" si="4"/>
        <v>116421.473333333</v>
      </c>
      <c r="M10" s="681">
        <f t="shared" si="4"/>
        <v>345854.260426667</v>
      </c>
      <c r="N10" s="681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76" t="s">
        <v>616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1030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54" customFormat="1" ht="18" spans="1:29">
      <c r="A7" s="655">
        <v>4</v>
      </c>
      <c r="B7" s="11" t="s">
        <v>1008</v>
      </c>
      <c r="C7" s="656">
        <v>460248.916666667</v>
      </c>
      <c r="D7" s="657">
        <v>12</v>
      </c>
      <c r="E7" s="658">
        <f t="shared" ref="E7:E13" si="13">C7*D7</f>
        <v>5522987</v>
      </c>
      <c r="F7" s="658"/>
      <c r="G7" s="658">
        <v>374638.96</v>
      </c>
      <c r="H7" s="658"/>
      <c r="I7" s="658">
        <f t="shared" si="0"/>
        <v>5148348.04</v>
      </c>
      <c r="J7" s="658">
        <v>200000</v>
      </c>
      <c r="K7" s="658">
        <v>0.2</v>
      </c>
      <c r="L7" s="658">
        <f t="shared" si="1"/>
        <v>1029669.608</v>
      </c>
      <c r="M7" s="658">
        <f t="shared" si="2"/>
        <v>1229669.608</v>
      </c>
      <c r="N7" s="658">
        <f t="shared" si="3"/>
        <v>1604308.568</v>
      </c>
      <c r="O7" s="658">
        <f t="shared" si="4"/>
        <v>3918678.432</v>
      </c>
      <c r="P7" s="658">
        <f t="shared" si="5"/>
        <v>21000</v>
      </c>
      <c r="Q7" s="658">
        <f t="shared" si="6"/>
        <v>33000</v>
      </c>
      <c r="R7" s="658">
        <f t="shared" si="7"/>
        <v>75000</v>
      </c>
      <c r="S7" s="658">
        <f t="shared" si="8"/>
        <v>95000</v>
      </c>
      <c r="T7" s="658">
        <f t="shared" si="9"/>
        <v>336000</v>
      </c>
      <c r="U7" s="658">
        <f t="shared" ref="U7:U11" si="14">24%*(O7-3200000)</f>
        <v>172482.823680001</v>
      </c>
      <c r="V7" s="658">
        <f t="shared" si="10"/>
        <v>732482.823680001</v>
      </c>
      <c r="W7" s="668">
        <v>12</v>
      </c>
      <c r="X7" s="658">
        <f t="shared" si="11"/>
        <v>61040.2353066667</v>
      </c>
      <c r="Y7" s="658"/>
      <c r="Z7" s="478">
        <f t="shared" si="12"/>
        <v>61040.2353066667</v>
      </c>
      <c r="AA7" s="669"/>
      <c r="AB7" s="669"/>
      <c r="AC7" s="669"/>
    </row>
    <row r="8" s="654" customFormat="1" ht="18" spans="1:29">
      <c r="A8" s="655">
        <v>5</v>
      </c>
      <c r="B8" s="11" t="s">
        <v>1031</v>
      </c>
      <c r="C8" s="656">
        <v>315849</v>
      </c>
      <c r="D8" s="657">
        <v>12</v>
      </c>
      <c r="E8" s="658">
        <f t="shared" si="13"/>
        <v>3790188</v>
      </c>
      <c r="F8" s="658"/>
      <c r="G8" s="658">
        <v>245615.04</v>
      </c>
      <c r="H8" s="658"/>
      <c r="I8" s="658">
        <f t="shared" si="0"/>
        <v>3544572.96</v>
      </c>
      <c r="J8" s="658">
        <v>200000</v>
      </c>
      <c r="K8" s="658">
        <v>0.2</v>
      </c>
      <c r="L8" s="658">
        <f t="shared" si="1"/>
        <v>708914.592</v>
      </c>
      <c r="M8" s="658">
        <f t="shared" si="2"/>
        <v>908914.592</v>
      </c>
      <c r="N8" s="658">
        <f t="shared" si="3"/>
        <v>1154529.632</v>
      </c>
      <c r="O8" s="658">
        <f t="shared" si="4"/>
        <v>2635658.368</v>
      </c>
      <c r="P8" s="658">
        <f t="shared" si="5"/>
        <v>21000</v>
      </c>
      <c r="Q8" s="658">
        <f t="shared" si="6"/>
        <v>33000</v>
      </c>
      <c r="R8" s="658">
        <f t="shared" si="7"/>
        <v>75000</v>
      </c>
      <c r="S8" s="658">
        <f t="shared" si="8"/>
        <v>95000</v>
      </c>
      <c r="T8" s="658">
        <f t="shared" si="9"/>
        <v>217488.25728</v>
      </c>
      <c r="U8" s="658"/>
      <c r="V8" s="658">
        <f t="shared" si="10"/>
        <v>441488.25728</v>
      </c>
      <c r="W8" s="668">
        <v>12</v>
      </c>
      <c r="X8" s="658">
        <f t="shared" si="11"/>
        <v>36790.6881066667</v>
      </c>
      <c r="Y8" s="658"/>
      <c r="Z8" s="478">
        <f t="shared" si="12"/>
        <v>36790.6881066667</v>
      </c>
      <c r="AA8" s="669"/>
      <c r="AB8" s="669"/>
      <c r="AC8" s="669"/>
    </row>
    <row r="9" ht="18" spans="1:29">
      <c r="A9" s="464">
        <v>6</v>
      </c>
      <c r="B9" s="11" t="s">
        <v>1032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54" customFormat="1" ht="18" spans="1:29">
      <c r="A10" s="655">
        <v>7</v>
      </c>
      <c r="B10" s="11" t="s">
        <v>1033</v>
      </c>
      <c r="C10" s="656">
        <v>353029.666666667</v>
      </c>
      <c r="D10" s="657">
        <v>12</v>
      </c>
      <c r="E10" s="658">
        <f t="shared" si="13"/>
        <v>4236356</v>
      </c>
      <c r="F10" s="658"/>
      <c r="G10" s="658">
        <v>281308.48</v>
      </c>
      <c r="H10" s="658"/>
      <c r="I10" s="658">
        <f t="shared" si="0"/>
        <v>3955047.52</v>
      </c>
      <c r="J10" s="658">
        <v>200000</v>
      </c>
      <c r="K10" s="658">
        <v>0.2</v>
      </c>
      <c r="L10" s="658">
        <f t="shared" si="1"/>
        <v>791009.504000001</v>
      </c>
      <c r="M10" s="658">
        <f t="shared" si="2"/>
        <v>991009.504000001</v>
      </c>
      <c r="N10" s="658">
        <f t="shared" si="3"/>
        <v>1272317.984</v>
      </c>
      <c r="O10" s="658">
        <f t="shared" si="4"/>
        <v>2964038.016</v>
      </c>
      <c r="P10" s="658">
        <f t="shared" si="5"/>
        <v>21000</v>
      </c>
      <c r="Q10" s="658">
        <f t="shared" si="6"/>
        <v>33000</v>
      </c>
      <c r="R10" s="658">
        <f t="shared" si="7"/>
        <v>75000</v>
      </c>
      <c r="S10" s="658">
        <f t="shared" si="8"/>
        <v>95000</v>
      </c>
      <c r="T10" s="658">
        <f t="shared" si="9"/>
        <v>286447.983360001</v>
      </c>
      <c r="U10" s="658"/>
      <c r="V10" s="658">
        <f t="shared" si="10"/>
        <v>510447.983360001</v>
      </c>
      <c r="W10" s="668">
        <v>12</v>
      </c>
      <c r="X10" s="658">
        <f t="shared" si="11"/>
        <v>42537.3319466667</v>
      </c>
      <c r="Y10" s="658"/>
      <c r="Z10" s="478">
        <f t="shared" si="12"/>
        <v>42537.3319466667</v>
      </c>
      <c r="AA10" s="669"/>
      <c r="AB10" s="669"/>
      <c r="AC10" s="669"/>
    </row>
    <row r="11" s="654" customFormat="1" ht="18" spans="1:29">
      <c r="A11" s="655">
        <v>8</v>
      </c>
      <c r="B11" s="11" t="s">
        <v>1034</v>
      </c>
      <c r="C11" s="656">
        <v>510248.916666667</v>
      </c>
      <c r="D11" s="657">
        <v>12</v>
      </c>
      <c r="E11" s="658">
        <f t="shared" si="13"/>
        <v>6122987</v>
      </c>
      <c r="F11" s="658"/>
      <c r="G11" s="658">
        <v>374638.96</v>
      </c>
      <c r="H11" s="658"/>
      <c r="I11" s="658">
        <f t="shared" si="0"/>
        <v>5748348.04</v>
      </c>
      <c r="J11" s="658">
        <v>200000</v>
      </c>
      <c r="K11" s="658">
        <v>0.2</v>
      </c>
      <c r="L11" s="658">
        <f t="shared" si="1"/>
        <v>1149669.608</v>
      </c>
      <c r="M11" s="658">
        <f t="shared" si="2"/>
        <v>1349669.608</v>
      </c>
      <c r="N11" s="658">
        <f t="shared" si="3"/>
        <v>1724308.568</v>
      </c>
      <c r="O11" s="658">
        <f t="shared" si="4"/>
        <v>4398678.432</v>
      </c>
      <c r="P11" s="658">
        <f t="shared" si="5"/>
        <v>21000</v>
      </c>
      <c r="Q11" s="658">
        <f t="shared" si="6"/>
        <v>33000</v>
      </c>
      <c r="R11" s="658">
        <f t="shared" si="7"/>
        <v>75000</v>
      </c>
      <c r="S11" s="658">
        <f t="shared" si="8"/>
        <v>95000</v>
      </c>
      <c r="T11" s="658">
        <f t="shared" si="9"/>
        <v>336000</v>
      </c>
      <c r="U11" s="658">
        <f t="shared" si="14"/>
        <v>287682.823680001</v>
      </c>
      <c r="V11" s="658">
        <f t="shared" si="10"/>
        <v>847682.823680001</v>
      </c>
      <c r="W11" s="668">
        <v>12</v>
      </c>
      <c r="X11" s="658">
        <f t="shared" si="11"/>
        <v>70640.2353066667</v>
      </c>
      <c r="Y11" s="658"/>
      <c r="Z11" s="478">
        <f t="shared" si="12"/>
        <v>70640.2353066667</v>
      </c>
      <c r="AA11" s="669"/>
      <c r="AB11" s="669"/>
      <c r="AC11" s="669"/>
    </row>
    <row r="12" ht="18" spans="1:29">
      <c r="A12" s="464">
        <v>9</v>
      </c>
      <c r="B12" s="11" t="s">
        <v>1013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54" customFormat="1" ht="18" spans="1:29">
      <c r="A13" s="655">
        <v>10</v>
      </c>
      <c r="B13" s="11" t="s">
        <v>1014</v>
      </c>
      <c r="C13" s="656">
        <v>268287.583333333</v>
      </c>
      <c r="D13" s="657">
        <v>12</v>
      </c>
      <c r="E13" s="658">
        <f t="shared" si="13"/>
        <v>3219451</v>
      </c>
      <c r="F13" s="658"/>
      <c r="G13" s="658">
        <v>209556.08</v>
      </c>
      <c r="H13" s="658"/>
      <c r="I13" s="658">
        <f t="shared" si="0"/>
        <v>3009894.92</v>
      </c>
      <c r="J13" s="658">
        <v>200000</v>
      </c>
      <c r="K13" s="658">
        <v>0.2</v>
      </c>
      <c r="L13" s="658">
        <f t="shared" si="1"/>
        <v>601978.983999999</v>
      </c>
      <c r="M13" s="658">
        <f t="shared" si="2"/>
        <v>801978.983999999</v>
      </c>
      <c r="N13" s="658">
        <f t="shared" si="3"/>
        <v>1011535.064</v>
      </c>
      <c r="O13" s="658">
        <f t="shared" si="4"/>
        <v>2207915.936</v>
      </c>
      <c r="P13" s="658">
        <f t="shared" si="5"/>
        <v>21000</v>
      </c>
      <c r="Q13" s="658">
        <f t="shared" si="6"/>
        <v>33000</v>
      </c>
      <c r="R13" s="658">
        <f t="shared" si="7"/>
        <v>75000</v>
      </c>
      <c r="S13" s="658">
        <f t="shared" si="8"/>
        <v>95000</v>
      </c>
      <c r="T13" s="658">
        <f t="shared" si="9"/>
        <v>127662.346559999</v>
      </c>
      <c r="U13" s="658"/>
      <c r="V13" s="658">
        <f t="shared" si="10"/>
        <v>351662.346559999</v>
      </c>
      <c r="W13" s="668">
        <v>12</v>
      </c>
      <c r="X13" s="658">
        <f t="shared" si="11"/>
        <v>29305.1955466666</v>
      </c>
      <c r="Y13" s="658"/>
      <c r="Z13" s="478">
        <f t="shared" si="12"/>
        <v>29305.1955466666</v>
      </c>
      <c r="AA13" s="669"/>
      <c r="AB13" s="669"/>
      <c r="AC13" s="669"/>
    </row>
    <row r="14" ht="26.25" customHeight="1" spans="2:26">
      <c r="B14" s="496" t="s">
        <v>939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9"/>
      <c r="C15" s="660"/>
      <c r="D15" s="661"/>
      <c r="E15" s="661"/>
      <c r="F15" s="662"/>
      <c r="G15" s="662"/>
      <c r="H15" s="663"/>
      <c r="I15" s="663"/>
      <c r="J15" s="663"/>
      <c r="K15" s="663"/>
      <c r="L15" s="663"/>
      <c r="M15" s="663"/>
      <c r="N15" s="663"/>
      <c r="O15" s="663"/>
      <c r="P15" s="663"/>
      <c r="Q15" s="663"/>
      <c r="R15" s="663"/>
      <c r="S15" s="663"/>
      <c r="T15" s="663"/>
      <c r="U15" s="663"/>
      <c r="V15" s="662"/>
      <c r="W15" s="661"/>
      <c r="X15" s="661"/>
      <c r="Y15" s="661"/>
      <c r="Z15" s="661"/>
    </row>
    <row r="16" ht="17.5" spans="2:6">
      <c r="B16" s="33"/>
      <c r="C16" s="296" t="s">
        <v>1035</v>
      </c>
      <c r="D16" s="296">
        <v>12</v>
      </c>
      <c r="E16" s="479" t="s">
        <v>1036</v>
      </c>
      <c r="F16" s="498"/>
    </row>
    <row r="17" ht="18" spans="1:26">
      <c r="A17" s="620"/>
      <c r="B17" s="11" t="s">
        <v>1030</v>
      </c>
      <c r="C17" s="664">
        <f>218287.583333333*0.08</f>
        <v>17463.0066666666</v>
      </c>
      <c r="D17" s="665">
        <v>12</v>
      </c>
      <c r="E17" s="666">
        <f>C17*D17</f>
        <v>209556.08</v>
      </c>
      <c r="F17" s="499"/>
      <c r="Z17" s="494"/>
    </row>
    <row r="18" ht="18" spans="1:5">
      <c r="A18" s="620"/>
      <c r="B18" s="11" t="s">
        <v>1008</v>
      </c>
      <c r="C18" s="641">
        <f>390248.916666667*0.08</f>
        <v>31219.9133333334</v>
      </c>
      <c r="D18" s="665">
        <v>12</v>
      </c>
      <c r="E18" s="666">
        <f t="shared" ref="E18:E24" si="15">C18*D18</f>
        <v>374638.96</v>
      </c>
    </row>
    <row r="19" ht="18" spans="1:5">
      <c r="A19" s="620"/>
      <c r="B19" s="11" t="s">
        <v>1031</v>
      </c>
      <c r="C19" s="664">
        <f>255849*0.08</f>
        <v>20467.92</v>
      </c>
      <c r="D19" s="665">
        <v>12</v>
      </c>
      <c r="E19" s="666">
        <f t="shared" si="15"/>
        <v>245615.04</v>
      </c>
    </row>
    <row r="20" ht="18" spans="1:5">
      <c r="A20" s="620"/>
      <c r="B20" s="11" t="s">
        <v>1032</v>
      </c>
      <c r="C20" s="664">
        <f>218287.583333333*0.08</f>
        <v>17463.0066666666</v>
      </c>
      <c r="D20" s="665">
        <v>12</v>
      </c>
      <c r="E20" s="666">
        <f t="shared" si="15"/>
        <v>209556.08</v>
      </c>
    </row>
    <row r="21" ht="18" spans="1:5">
      <c r="A21" s="620"/>
      <c r="B21" s="11" t="s">
        <v>1033</v>
      </c>
      <c r="C21" s="664">
        <f>293029.666666667*0.08</f>
        <v>23442.3733333334</v>
      </c>
      <c r="D21" s="665">
        <v>12</v>
      </c>
      <c r="E21" s="666">
        <f t="shared" si="15"/>
        <v>281308.48</v>
      </c>
    </row>
    <row r="22" ht="18" spans="1:5">
      <c r="A22" s="620"/>
      <c r="B22" s="11" t="s">
        <v>1034</v>
      </c>
      <c r="C22" s="641">
        <f>390248.916666667*0.08</f>
        <v>31219.9133333334</v>
      </c>
      <c r="D22" s="665">
        <v>12</v>
      </c>
      <c r="E22" s="666">
        <f t="shared" si="15"/>
        <v>374638.96</v>
      </c>
    </row>
    <row r="23" ht="18" spans="1:5">
      <c r="A23" s="620"/>
      <c r="B23" s="11" t="s">
        <v>1013</v>
      </c>
      <c r="C23" s="664">
        <f t="shared" ref="C23:C24" si="16">218287.583333333*0.08</f>
        <v>17463.0066666666</v>
      </c>
      <c r="D23" s="665">
        <v>12</v>
      </c>
      <c r="E23" s="666">
        <f t="shared" si="15"/>
        <v>209556.08</v>
      </c>
    </row>
    <row r="24" ht="18" spans="1:5">
      <c r="A24" s="620"/>
      <c r="B24" s="11" t="s">
        <v>1014</v>
      </c>
      <c r="C24" s="664">
        <f t="shared" si="16"/>
        <v>17463.0066666666</v>
      </c>
      <c r="D24" s="665">
        <v>12</v>
      </c>
      <c r="E24" s="666">
        <f t="shared" si="15"/>
        <v>209556.08</v>
      </c>
    </row>
    <row r="25" ht="15.5" spans="3:5">
      <c r="C25" s="667"/>
      <c r="D25" s="667"/>
      <c r="E25" s="667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37" t="s">
        <v>3</v>
      </c>
      <c r="D3" s="79" t="s">
        <v>4</v>
      </c>
      <c r="E3" s="638" t="s">
        <v>5</v>
      </c>
      <c r="F3" s="638" t="s">
        <v>6</v>
      </c>
      <c r="G3" s="638" t="s">
        <v>7</v>
      </c>
      <c r="H3" s="638" t="s">
        <v>7</v>
      </c>
      <c r="I3" s="638" t="s">
        <v>8</v>
      </c>
      <c r="J3" s="645" t="s">
        <v>9</v>
      </c>
      <c r="K3" s="638" t="s">
        <v>10</v>
      </c>
      <c r="L3" s="638" t="s">
        <v>813</v>
      </c>
      <c r="M3" s="638" t="s">
        <v>814</v>
      </c>
      <c r="N3" s="638" t="s">
        <v>14</v>
      </c>
      <c r="O3" s="646" t="s">
        <v>15</v>
      </c>
      <c r="P3" s="638" t="s">
        <v>16</v>
      </c>
      <c r="Q3" s="650" t="s">
        <v>17</v>
      </c>
      <c r="R3" s="319" t="s">
        <v>1037</v>
      </c>
      <c r="S3" s="651" t="s">
        <v>1038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95">
        <v>1</v>
      </c>
      <c r="B5" s="639" t="s">
        <v>848</v>
      </c>
      <c r="C5" s="86" t="s">
        <v>849</v>
      </c>
      <c r="D5" s="640" t="s">
        <v>850</v>
      </c>
      <c r="E5" s="641">
        <v>601396.833333333</v>
      </c>
      <c r="F5" s="641"/>
      <c r="G5" s="642">
        <f>160000</f>
        <v>160000</v>
      </c>
      <c r="H5" s="642"/>
      <c r="I5" s="647">
        <v>0</v>
      </c>
      <c r="J5" s="648">
        <f t="shared" ref="J5:J6" si="0">SUM(E5:I5)</f>
        <v>761396.833333333</v>
      </c>
      <c r="K5" s="641"/>
      <c r="L5" s="641"/>
      <c r="M5" s="641"/>
      <c r="N5" s="641">
        <v>0</v>
      </c>
      <c r="O5" s="641">
        <v>124854.858666667</v>
      </c>
      <c r="P5" s="641"/>
      <c r="Q5" s="652">
        <f t="shared" ref="Q5:Q8" si="1">O5+N5+M5+L5+K5+P5</f>
        <v>124854.858666667</v>
      </c>
      <c r="R5" s="641">
        <v>636541.974666667</v>
      </c>
      <c r="S5" s="648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183</v>
      </c>
      <c r="C6" s="83" t="s">
        <v>851</v>
      </c>
      <c r="D6" s="95" t="s">
        <v>161</v>
      </c>
      <c r="E6" s="641">
        <v>620675.583333333</v>
      </c>
      <c r="F6" s="641"/>
      <c r="G6" s="642">
        <v>160000</v>
      </c>
      <c r="H6" s="642"/>
      <c r="I6" s="647">
        <v>0</v>
      </c>
      <c r="J6" s="648">
        <f t="shared" si="0"/>
        <v>780675.583333333</v>
      </c>
      <c r="K6" s="641"/>
      <c r="L6" s="641">
        <f>50000</f>
        <v>50000</v>
      </c>
      <c r="M6" s="641">
        <f>59583.33</f>
        <v>59583.33</v>
      </c>
      <c r="N6" s="641"/>
      <c r="O6" s="641">
        <f>128556.38</f>
        <v>128556.38</v>
      </c>
      <c r="P6" s="641"/>
      <c r="Q6" s="652">
        <f t="shared" si="1"/>
        <v>238139.71</v>
      </c>
      <c r="R6" s="641">
        <v>542535.873333333</v>
      </c>
      <c r="S6" s="648">
        <f t="shared" si="2"/>
        <v>542535.873333333</v>
      </c>
      <c r="T6" s="13"/>
    </row>
    <row r="7" s="636" customFormat="1" ht="29.1" customHeight="1" spans="1:20">
      <c r="A7" s="95">
        <v>3</v>
      </c>
      <c r="B7" s="639" t="s">
        <v>855</v>
      </c>
      <c r="C7" s="83" t="s">
        <v>559</v>
      </c>
      <c r="D7" s="640" t="s">
        <v>41</v>
      </c>
      <c r="E7" s="641">
        <v>582118.083333333</v>
      </c>
      <c r="F7" s="641"/>
      <c r="G7" s="642"/>
      <c r="H7" s="642">
        <f>80000</f>
        <v>80000</v>
      </c>
      <c r="I7" s="641">
        <v>0</v>
      </c>
      <c r="J7" s="648">
        <f t="shared" ref="J7" si="3">SUM(E7:I7)</f>
        <v>662118.083333333</v>
      </c>
      <c r="K7" s="641"/>
      <c r="L7" s="641">
        <f>100000</f>
        <v>100000</v>
      </c>
      <c r="M7" s="641">
        <f>103000</f>
        <v>103000</v>
      </c>
      <c r="N7" s="641">
        <v>0</v>
      </c>
      <c r="O7" s="641">
        <v>105793.338666667</v>
      </c>
      <c r="P7" s="641"/>
      <c r="Q7" s="652">
        <f t="shared" si="1"/>
        <v>308793.338666667</v>
      </c>
      <c r="R7" s="641">
        <v>353324.744666667</v>
      </c>
      <c r="S7" s="648">
        <f t="shared" si="2"/>
        <v>353324.744666666</v>
      </c>
      <c r="T7" s="653"/>
    </row>
    <row r="8" s="636" customFormat="1" ht="20.1" customHeight="1" spans="1:20">
      <c r="A8" s="95">
        <v>4</v>
      </c>
      <c r="B8" s="643" t="s">
        <v>858</v>
      </c>
      <c r="C8" s="83" t="s">
        <v>859</v>
      </c>
      <c r="D8" s="640" t="s">
        <v>35</v>
      </c>
      <c r="E8" s="641">
        <v>762373.166666667</v>
      </c>
      <c r="F8" s="641"/>
      <c r="G8" s="642"/>
      <c r="H8" s="642">
        <v>90000</v>
      </c>
      <c r="I8" s="641"/>
      <c r="J8" s="648">
        <f t="shared" ref="J8" si="4">SUM(E8:I8)</f>
        <v>852373.166666667</v>
      </c>
      <c r="K8" s="641"/>
      <c r="L8" s="649">
        <v>50000</v>
      </c>
      <c r="M8" s="649">
        <v>200000</v>
      </c>
      <c r="O8" s="641">
        <v>142322.314666667</v>
      </c>
      <c r="P8" s="641"/>
      <c r="Q8" s="652">
        <f t="shared" si="1"/>
        <v>392322.314666667</v>
      </c>
      <c r="R8" s="641">
        <v>460050.852</v>
      </c>
      <c r="S8" s="648">
        <f t="shared" si="2"/>
        <v>460050.852</v>
      </c>
      <c r="T8" s="653"/>
    </row>
    <row r="9" ht="29.1" customHeight="1" spans="5:19">
      <c r="E9" s="644">
        <f>SUM(E5:E8)</f>
        <v>2566563.66666667</v>
      </c>
      <c r="F9" s="644">
        <f t="shared" ref="F9:S9" si="5">SUM(F5:F8)</f>
        <v>0</v>
      </c>
      <c r="G9" s="644">
        <f t="shared" si="5"/>
        <v>320000</v>
      </c>
      <c r="H9" s="644">
        <f t="shared" si="5"/>
        <v>170000</v>
      </c>
      <c r="I9" s="644">
        <f t="shared" si="5"/>
        <v>0</v>
      </c>
      <c r="J9" s="644">
        <f t="shared" si="5"/>
        <v>3056563.66666667</v>
      </c>
      <c r="K9" s="644">
        <f t="shared" si="5"/>
        <v>0</v>
      </c>
      <c r="L9" s="644">
        <f t="shared" si="5"/>
        <v>200000</v>
      </c>
      <c r="M9" s="644">
        <f t="shared" si="5"/>
        <v>362583.33</v>
      </c>
      <c r="N9" s="644">
        <f t="shared" si="5"/>
        <v>0</v>
      </c>
      <c r="O9" s="644">
        <f t="shared" si="5"/>
        <v>501526.892000001</v>
      </c>
      <c r="P9" s="644">
        <f t="shared" si="5"/>
        <v>0</v>
      </c>
      <c r="Q9" s="644">
        <f t="shared" si="5"/>
        <v>1064110.222</v>
      </c>
      <c r="R9" s="644">
        <f t="shared" si="5"/>
        <v>1992453.44466667</v>
      </c>
      <c r="S9" s="644">
        <f t="shared" si="5"/>
        <v>1992453.44466667</v>
      </c>
    </row>
  </sheetData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813</v>
      </c>
      <c r="M3" s="218" t="s">
        <v>814</v>
      </c>
      <c r="N3" s="218" t="s">
        <v>14</v>
      </c>
      <c r="O3" s="24" t="s">
        <v>15</v>
      </c>
      <c r="P3" s="218" t="s">
        <v>16</v>
      </c>
      <c r="Q3" s="506" t="s">
        <v>17</v>
      </c>
      <c r="R3" s="80" t="s">
        <v>1037</v>
      </c>
      <c r="S3" s="635" t="s">
        <v>1038</v>
      </c>
    </row>
    <row r="4" ht="18" spans="1:19">
      <c r="A4" s="1"/>
      <c r="B4" s="1"/>
      <c r="C4" s="8"/>
      <c r="D4" s="8"/>
      <c r="E4" s="82" t="s">
        <v>20</v>
      </c>
      <c r="F4" s="82" t="s">
        <v>20</v>
      </c>
      <c r="G4" s="82" t="s">
        <v>20</v>
      </c>
      <c r="H4" s="82" t="s">
        <v>20</v>
      </c>
      <c r="I4" s="82" t="s">
        <v>20</v>
      </c>
      <c r="J4" s="507" t="s">
        <v>20</v>
      </c>
      <c r="K4" s="82" t="s">
        <v>20</v>
      </c>
      <c r="L4" s="82" t="s">
        <v>20</v>
      </c>
      <c r="M4" s="82" t="s">
        <v>20</v>
      </c>
      <c r="N4" s="82" t="s">
        <v>20</v>
      </c>
      <c r="O4" s="82" t="s">
        <v>20</v>
      </c>
      <c r="P4" s="82" t="s">
        <v>20</v>
      </c>
      <c r="Q4" s="508" t="s">
        <v>20</v>
      </c>
      <c r="R4" s="82" t="s">
        <v>20</v>
      </c>
      <c r="S4" s="507" t="s">
        <v>20</v>
      </c>
    </row>
    <row r="5" s="1" customFormat="1" ht="20.1" customHeight="1" spans="1:20">
      <c r="A5" s="10">
        <v>6</v>
      </c>
      <c r="B5" s="18" t="s">
        <v>833</v>
      </c>
      <c r="C5" s="17" t="s">
        <v>834</v>
      </c>
      <c r="D5" s="10" t="s">
        <v>28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1039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597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628">
        <v>540000</v>
      </c>
      <c r="F7" s="13"/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628">
        <v>180000</v>
      </c>
      <c r="F8" s="13"/>
    </row>
    <row r="9" customHeight="1" spans="1:6">
      <c r="A9" s="10">
        <v>3</v>
      </c>
      <c r="B9" s="14" t="s">
        <v>29</v>
      </c>
      <c r="C9" s="4" t="s">
        <v>30</v>
      </c>
      <c r="D9" s="10" t="s">
        <v>28</v>
      </c>
      <c r="E9" s="628">
        <v>180000</v>
      </c>
      <c r="F9" s="13"/>
    </row>
    <row r="10" customHeight="1" spans="1:6">
      <c r="A10" s="10">
        <v>4</v>
      </c>
      <c r="B10" s="11" t="s">
        <v>31</v>
      </c>
      <c r="C10" s="17" t="s">
        <v>32</v>
      </c>
      <c r="D10" s="10" t="s">
        <v>28</v>
      </c>
      <c r="E10" s="628">
        <v>180000</v>
      </c>
      <c r="F10" s="13"/>
    </row>
    <row r="11" customHeight="1" spans="1:6">
      <c r="A11" s="10">
        <v>5</v>
      </c>
      <c r="B11" s="14" t="s">
        <v>301</v>
      </c>
      <c r="C11" s="4" t="s">
        <v>832</v>
      </c>
      <c r="D11" s="10" t="s">
        <v>28</v>
      </c>
      <c r="E11" s="628">
        <v>180000</v>
      </c>
      <c r="F11" s="13"/>
    </row>
    <row r="12" customHeight="1" spans="1:6">
      <c r="A12" s="10">
        <v>6</v>
      </c>
      <c r="B12" s="18" t="s">
        <v>833</v>
      </c>
      <c r="C12" s="17" t="s">
        <v>834</v>
      </c>
      <c r="D12" s="10" t="s">
        <v>28</v>
      </c>
      <c r="E12" s="628">
        <v>180000</v>
      </c>
      <c r="F12" s="13"/>
    </row>
    <row r="13" customHeight="1" spans="1:6">
      <c r="A13" s="10">
        <v>7</v>
      </c>
      <c r="B13" s="11" t="s">
        <v>33</v>
      </c>
      <c r="C13" s="12" t="s">
        <v>835</v>
      </c>
      <c r="D13" s="15" t="s">
        <v>38</v>
      </c>
      <c r="E13" s="628">
        <v>126000</v>
      </c>
      <c r="F13" s="13"/>
    </row>
    <row r="14" customHeight="1" spans="1:6">
      <c r="A14" s="10">
        <v>8</v>
      </c>
      <c r="B14" s="11" t="s">
        <v>36</v>
      </c>
      <c r="C14" s="4" t="s">
        <v>37</v>
      </c>
      <c r="D14" s="10" t="s">
        <v>41</v>
      </c>
      <c r="E14" s="628">
        <v>126000</v>
      </c>
      <c r="F14" s="13"/>
    </row>
    <row r="15" customHeight="1" spans="1:6">
      <c r="A15" s="10">
        <v>9</v>
      </c>
      <c r="B15" s="11" t="s">
        <v>39</v>
      </c>
      <c r="C15" s="4" t="s">
        <v>547</v>
      </c>
      <c r="D15" s="15" t="s">
        <v>189</v>
      </c>
      <c r="E15" s="628">
        <v>90000</v>
      </c>
      <c r="F15" s="13"/>
    </row>
    <row r="16" customHeight="1" spans="1:6">
      <c r="A16" s="10">
        <v>10</v>
      </c>
      <c r="B16" s="14" t="s">
        <v>42</v>
      </c>
      <c r="C16" s="17" t="s">
        <v>51</v>
      </c>
      <c r="D16" s="15" t="s">
        <v>46</v>
      </c>
      <c r="E16" s="628">
        <v>90000</v>
      </c>
      <c r="F16" s="13"/>
    </row>
    <row r="17" customHeight="1" spans="1:6">
      <c r="A17" s="10">
        <v>11</v>
      </c>
      <c r="B17" s="11" t="s">
        <v>44</v>
      </c>
      <c r="C17" s="4" t="s">
        <v>45</v>
      </c>
      <c r="D17" s="10" t="s">
        <v>52</v>
      </c>
      <c r="E17" s="628">
        <v>90000</v>
      </c>
      <c r="F17" s="13"/>
    </row>
    <row r="18" customHeight="1" spans="1:5">
      <c r="A18" s="10">
        <v>12</v>
      </c>
      <c r="B18" s="11" t="s">
        <v>47</v>
      </c>
      <c r="C18" s="4" t="s">
        <v>836</v>
      </c>
      <c r="D18" s="10" t="s">
        <v>55</v>
      </c>
      <c r="E18" s="628">
        <v>90000</v>
      </c>
    </row>
    <row r="19" customHeight="1" spans="1:6">
      <c r="A19" s="10">
        <v>13</v>
      </c>
      <c r="B19" s="11" t="s">
        <v>50</v>
      </c>
      <c r="C19" s="12" t="s">
        <v>60</v>
      </c>
      <c r="D19" s="15" t="s">
        <v>502</v>
      </c>
      <c r="E19" s="628">
        <v>90000</v>
      </c>
      <c r="F19" s="13"/>
    </row>
    <row r="20" customHeight="1" spans="1:6">
      <c r="A20" s="10">
        <v>14</v>
      </c>
      <c r="B20" s="18" t="s">
        <v>53</v>
      </c>
      <c r="C20" s="4" t="s">
        <v>54</v>
      </c>
      <c r="D20" s="15" t="s">
        <v>58</v>
      </c>
      <c r="E20" s="628">
        <v>90000</v>
      </c>
      <c r="F20" s="13"/>
    </row>
    <row r="21" ht="18.75" customHeight="1" spans="1:6">
      <c r="A21" s="10">
        <v>15</v>
      </c>
      <c r="B21" s="11" t="s">
        <v>64</v>
      </c>
      <c r="C21" s="12" t="s">
        <v>176</v>
      </c>
      <c r="D21" s="15" t="s">
        <v>69</v>
      </c>
      <c r="E21" s="628">
        <v>68000</v>
      </c>
      <c r="F21" s="13"/>
    </row>
    <row r="22" customHeight="1" spans="1:6">
      <c r="A22" s="10">
        <v>16</v>
      </c>
      <c r="B22" s="14" t="s">
        <v>67</v>
      </c>
      <c r="C22" s="17" t="s">
        <v>68</v>
      </c>
      <c r="D22" s="10" t="s">
        <v>504</v>
      </c>
      <c r="E22" s="628">
        <v>68000</v>
      </c>
      <c r="F22" s="13"/>
    </row>
    <row r="23" ht="21.6" customHeight="1" spans="1:6">
      <c r="A23" s="10">
        <v>17</v>
      </c>
      <c r="B23" s="11" t="s">
        <v>70</v>
      </c>
      <c r="C23" s="17" t="s">
        <v>71</v>
      </c>
      <c r="D23" s="15" t="s">
        <v>504</v>
      </c>
      <c r="E23" s="628">
        <v>68000</v>
      </c>
      <c r="F23" s="13"/>
    </row>
    <row r="24" customHeight="1" spans="1:6">
      <c r="A24" s="10">
        <v>18</v>
      </c>
      <c r="B24" s="14" t="s">
        <v>72</v>
      </c>
      <c r="C24" s="17" t="s">
        <v>73</v>
      </c>
      <c r="D24" s="10" t="s">
        <v>80</v>
      </c>
      <c r="E24" s="628">
        <v>68000</v>
      </c>
      <c r="F24" s="13"/>
    </row>
    <row r="25" ht="18.75" customHeight="1" spans="1:6">
      <c r="A25" s="10">
        <v>19</v>
      </c>
      <c r="B25" s="4" t="s">
        <v>485</v>
      </c>
      <c r="C25" s="4" t="s">
        <v>94</v>
      </c>
      <c r="D25" s="10" t="s">
        <v>88</v>
      </c>
      <c r="E25" s="628">
        <v>54000</v>
      </c>
      <c r="F25" s="13"/>
    </row>
    <row r="26" ht="18.75" customHeight="1" spans="1:6">
      <c r="A26" s="10">
        <v>20</v>
      </c>
      <c r="B26" s="18" t="s">
        <v>78</v>
      </c>
      <c r="C26" s="12" t="s">
        <v>94</v>
      </c>
      <c r="D26" s="15" t="s">
        <v>88</v>
      </c>
      <c r="E26" s="628">
        <v>54000</v>
      </c>
      <c r="F26" s="13"/>
    </row>
    <row r="27" customHeight="1" spans="1:6">
      <c r="A27" s="10">
        <v>21</v>
      </c>
      <c r="B27" s="11" t="s">
        <v>81</v>
      </c>
      <c r="C27" s="17" t="s">
        <v>68</v>
      </c>
      <c r="D27" s="10" t="s">
        <v>88</v>
      </c>
      <c r="E27" s="628">
        <v>54000</v>
      </c>
      <c r="F27" s="13"/>
    </row>
    <row r="28" ht="18.75" customHeight="1" spans="1:6">
      <c r="A28" s="10">
        <v>22</v>
      </c>
      <c r="B28" s="18" t="s">
        <v>83</v>
      </c>
      <c r="C28" s="12" t="s">
        <v>84</v>
      </c>
      <c r="D28" s="15" t="s">
        <v>99</v>
      </c>
      <c r="E28" s="628">
        <v>54000</v>
      </c>
      <c r="F28" s="13"/>
    </row>
    <row r="29" ht="18.75" customHeight="1" spans="1:6">
      <c r="A29" s="10">
        <v>23</v>
      </c>
      <c r="B29" s="18" t="s">
        <v>86</v>
      </c>
      <c r="C29" s="4" t="s">
        <v>87</v>
      </c>
      <c r="D29" s="10" t="s">
        <v>344</v>
      </c>
      <c r="E29" s="628">
        <v>54000</v>
      </c>
      <c r="F29" s="13"/>
    </row>
    <row r="30" ht="18.75" customHeight="1" spans="1:6">
      <c r="A30" s="10">
        <v>24</v>
      </c>
      <c r="B30" s="18" t="s">
        <v>89</v>
      </c>
      <c r="C30" s="4" t="s">
        <v>87</v>
      </c>
      <c r="D30" s="10" t="s">
        <v>344</v>
      </c>
      <c r="E30" s="628">
        <v>54000</v>
      </c>
      <c r="F30" s="13"/>
    </row>
    <row r="31" ht="18.75" customHeight="1" spans="1:6">
      <c r="A31" s="10">
        <v>25</v>
      </c>
      <c r="B31" s="18" t="s">
        <v>91</v>
      </c>
      <c r="C31" s="17" t="s">
        <v>550</v>
      </c>
      <c r="D31" s="15" t="s">
        <v>88</v>
      </c>
      <c r="E31" s="628">
        <v>54000</v>
      </c>
      <c r="F31" s="13"/>
    </row>
    <row r="32" ht="18.75" customHeight="1" spans="1:6">
      <c r="A32" s="10">
        <v>26</v>
      </c>
      <c r="B32" s="18" t="s">
        <v>95</v>
      </c>
      <c r="C32" s="4" t="s">
        <v>551</v>
      </c>
      <c r="D32" s="10" t="s">
        <v>108</v>
      </c>
      <c r="E32" s="628">
        <v>54000</v>
      </c>
      <c r="F32" s="13"/>
    </row>
    <row r="33" ht="18.75" customHeight="1" spans="1:6">
      <c r="A33" s="10">
        <v>27</v>
      </c>
      <c r="B33" s="18" t="s">
        <v>103</v>
      </c>
      <c r="C33" s="12" t="s">
        <v>104</v>
      </c>
      <c r="D33" s="15" t="s">
        <v>111</v>
      </c>
      <c r="E33" s="628">
        <v>54000</v>
      </c>
      <c r="F33" s="13"/>
    </row>
    <row r="34" ht="21" customHeight="1" spans="1:6">
      <c r="A34" s="10"/>
      <c r="B34" s="20" t="s">
        <v>120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9"/>
      <c r="F35" s="13"/>
    </row>
    <row r="36" ht="18.75" customHeight="1" spans="1:6">
      <c r="A36" s="10"/>
      <c r="B36" s="20" t="s">
        <v>121</v>
      </c>
      <c r="C36" s="4"/>
      <c r="D36" s="15"/>
      <c r="E36" s="628"/>
      <c r="F36" s="13"/>
    </row>
    <row r="37" ht="18.75" customHeight="1" spans="1:6">
      <c r="A37" s="10">
        <v>1</v>
      </c>
      <c r="B37" s="18" t="s">
        <v>122</v>
      </c>
      <c r="C37" s="4" t="s">
        <v>123</v>
      </c>
      <c r="D37" s="10" t="s">
        <v>124</v>
      </c>
      <c r="E37" s="628">
        <v>270000</v>
      </c>
      <c r="F37" s="13"/>
    </row>
    <row r="38" ht="18.75" customHeight="1" spans="1:6">
      <c r="A38" s="10">
        <v>2</v>
      </c>
      <c r="B38" s="18" t="s">
        <v>127</v>
      </c>
      <c r="C38" s="4" t="s">
        <v>128</v>
      </c>
      <c r="D38" s="10" t="s">
        <v>80</v>
      </c>
      <c r="E38" s="628">
        <v>68000</v>
      </c>
      <c r="F38" s="13"/>
    </row>
    <row r="39" ht="18.75" customHeight="1" spans="1:6">
      <c r="A39" s="10">
        <v>3</v>
      </c>
      <c r="B39" s="11" t="s">
        <v>129</v>
      </c>
      <c r="C39" s="4" t="s">
        <v>128</v>
      </c>
      <c r="D39" s="15" t="s">
        <v>74</v>
      </c>
      <c r="E39" s="628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8"/>
      <c r="F41" s="13"/>
    </row>
    <row r="42" customHeight="1" spans="1:6">
      <c r="A42" s="10"/>
      <c r="B42" s="23" t="s">
        <v>137</v>
      </c>
      <c r="C42" s="5"/>
      <c r="D42" s="24"/>
      <c r="E42" s="628"/>
      <c r="F42" s="13"/>
    </row>
    <row r="43" customHeight="1" spans="1:6">
      <c r="A43" s="10">
        <v>1</v>
      </c>
      <c r="B43" s="11" t="s">
        <v>837</v>
      </c>
      <c r="C43" s="4" t="s">
        <v>838</v>
      </c>
      <c r="D43" s="10" t="s">
        <v>124</v>
      </c>
      <c r="E43" s="628">
        <v>270000</v>
      </c>
      <c r="F43" s="13"/>
    </row>
    <row r="44" customHeight="1" spans="1:6">
      <c r="A44" s="10">
        <v>2</v>
      </c>
      <c r="B44" s="11" t="s">
        <v>839</v>
      </c>
      <c r="C44" s="4" t="s">
        <v>43</v>
      </c>
      <c r="D44" s="10" t="s">
        <v>38</v>
      </c>
      <c r="E44" s="628">
        <v>126000</v>
      </c>
      <c r="F44" s="13"/>
    </row>
    <row r="45" customHeight="1" spans="1:6">
      <c r="A45" s="10">
        <v>3</v>
      </c>
      <c r="B45" s="11" t="s">
        <v>138</v>
      </c>
      <c r="C45" s="4" t="s">
        <v>552</v>
      </c>
      <c r="D45" s="10" t="s">
        <v>207</v>
      </c>
      <c r="E45" s="628">
        <v>180000</v>
      </c>
      <c r="F45" s="13"/>
    </row>
    <row r="46" customHeight="1" spans="1:6">
      <c r="A46" s="10">
        <v>4</v>
      </c>
      <c r="B46" s="11" t="s">
        <v>141</v>
      </c>
      <c r="C46" s="4" t="s">
        <v>142</v>
      </c>
      <c r="D46" s="10" t="s">
        <v>38</v>
      </c>
      <c r="E46" s="628">
        <v>126000</v>
      </c>
      <c r="F46" s="13"/>
    </row>
    <row r="47" customHeight="1" spans="1:6">
      <c r="A47" s="10">
        <v>5</v>
      </c>
      <c r="B47" s="11" t="s">
        <v>143</v>
      </c>
      <c r="C47" s="4" t="s">
        <v>142</v>
      </c>
      <c r="D47" s="10" t="s">
        <v>38</v>
      </c>
      <c r="E47" s="628">
        <v>126000</v>
      </c>
      <c r="F47" s="13"/>
    </row>
    <row r="48" customHeight="1" spans="1:6">
      <c r="A48" s="10">
        <v>6</v>
      </c>
      <c r="B48" s="11" t="s">
        <v>144</v>
      </c>
      <c r="C48" s="4" t="s">
        <v>142</v>
      </c>
      <c r="D48" s="10" t="s">
        <v>41</v>
      </c>
      <c r="E48" s="628">
        <v>126000</v>
      </c>
      <c r="F48" s="13"/>
    </row>
    <row r="49" customHeight="1" spans="1:6">
      <c r="A49" s="10">
        <v>7</v>
      </c>
      <c r="B49" s="14" t="s">
        <v>145</v>
      </c>
      <c r="C49" s="4" t="s">
        <v>51</v>
      </c>
      <c r="D49" s="16" t="s">
        <v>46</v>
      </c>
      <c r="E49" s="628">
        <v>90000</v>
      </c>
      <c r="F49" s="13"/>
    </row>
    <row r="50" customHeight="1" spans="1:6">
      <c r="A50" s="10">
        <v>8</v>
      </c>
      <c r="B50" s="11" t="s">
        <v>149</v>
      </c>
      <c r="C50" s="4" t="s">
        <v>150</v>
      </c>
      <c r="D50" s="10" t="s">
        <v>74</v>
      </c>
      <c r="E50" s="628">
        <v>68000</v>
      </c>
      <c r="F50" s="13"/>
    </row>
    <row r="51" customHeight="1" spans="1:6">
      <c r="A51" s="10">
        <v>9</v>
      </c>
      <c r="B51" s="11" t="s">
        <v>153</v>
      </c>
      <c r="C51" s="4" t="s">
        <v>150</v>
      </c>
      <c r="D51" s="10" t="s">
        <v>99</v>
      </c>
      <c r="E51" s="628">
        <v>54000</v>
      </c>
      <c r="F51" s="13"/>
    </row>
    <row r="52" customHeight="1" spans="1:6">
      <c r="A52" s="10">
        <v>10</v>
      </c>
      <c r="B52" s="11" t="s">
        <v>840</v>
      </c>
      <c r="C52" s="4" t="s">
        <v>150</v>
      </c>
      <c r="D52" s="10" t="s">
        <v>99</v>
      </c>
      <c r="E52" s="628">
        <v>54000</v>
      </c>
      <c r="F52" s="13"/>
    </row>
    <row r="53" customHeight="1" spans="1:6">
      <c r="A53" s="10">
        <v>11</v>
      </c>
      <c r="B53" s="11" t="s">
        <v>154</v>
      </c>
      <c r="C53" s="4" t="s">
        <v>150</v>
      </c>
      <c r="D53" s="10" t="s">
        <v>99</v>
      </c>
      <c r="E53" s="628">
        <v>54000</v>
      </c>
      <c r="F53" s="13"/>
    </row>
    <row r="54" ht="25.5" customHeight="1" spans="1:6">
      <c r="A54" s="10"/>
      <c r="B54" s="20" t="s">
        <v>120</v>
      </c>
      <c r="C54" s="21">
        <v>11</v>
      </c>
      <c r="D54" s="21"/>
      <c r="E54" s="630">
        <f>SUM(E43:E53)</f>
        <v>1274000</v>
      </c>
      <c r="F54" s="13"/>
    </row>
    <row r="55" customHeight="1" spans="1:6">
      <c r="A55" s="10"/>
      <c r="B55" s="22"/>
      <c r="C55" s="21"/>
      <c r="D55" s="21"/>
      <c r="E55" s="631"/>
      <c r="F55" s="13"/>
    </row>
    <row r="56" customHeight="1" spans="1:6">
      <c r="A56" s="10"/>
      <c r="B56" s="20" t="s">
        <v>156</v>
      </c>
      <c r="C56" s="21"/>
      <c r="D56" s="21"/>
      <c r="E56" s="631"/>
      <c r="F56" s="13"/>
    </row>
    <row r="57" customHeight="1" spans="1:6">
      <c r="A57" s="10">
        <v>1</v>
      </c>
      <c r="B57" s="11" t="s">
        <v>841</v>
      </c>
      <c r="C57" s="12" t="s">
        <v>158</v>
      </c>
      <c r="D57" s="15" t="s">
        <v>124</v>
      </c>
      <c r="E57" s="628">
        <v>270000</v>
      </c>
      <c r="F57" s="13"/>
    </row>
    <row r="58" customHeight="1" spans="1:6">
      <c r="A58" s="10">
        <v>2</v>
      </c>
      <c r="B58" s="11" t="s">
        <v>159</v>
      </c>
      <c r="C58" s="12" t="s">
        <v>160</v>
      </c>
      <c r="D58" s="15" t="s">
        <v>161</v>
      </c>
      <c r="E58" s="628">
        <v>126000</v>
      </c>
      <c r="F58" s="13"/>
    </row>
    <row r="59" customHeight="1" spans="1:6">
      <c r="A59" s="10"/>
      <c r="B59" s="20" t="s">
        <v>120</v>
      </c>
      <c r="C59" s="21">
        <v>2</v>
      </c>
      <c r="D59" s="21"/>
      <c r="E59" s="630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31"/>
      <c r="F60" s="13"/>
    </row>
    <row r="61" customHeight="1" spans="1:6">
      <c r="A61" s="10"/>
      <c r="B61" s="20" t="s">
        <v>162</v>
      </c>
      <c r="C61" s="21"/>
      <c r="D61" s="21"/>
      <c r="E61" s="631"/>
      <c r="F61" s="13"/>
    </row>
    <row r="62" customHeight="1" spans="1:6">
      <c r="A62" s="10">
        <v>1</v>
      </c>
      <c r="B62" s="11" t="s">
        <v>842</v>
      </c>
      <c r="C62" s="17" t="s">
        <v>843</v>
      </c>
      <c r="D62" s="10" t="s">
        <v>124</v>
      </c>
      <c r="E62" s="628">
        <v>270000</v>
      </c>
      <c r="F62" s="13"/>
    </row>
    <row r="63" customHeight="1" spans="1:6">
      <c r="A63" s="10">
        <v>2</v>
      </c>
      <c r="B63" s="351" t="s">
        <v>844</v>
      </c>
      <c r="C63" s="17" t="s">
        <v>845</v>
      </c>
      <c r="D63" s="15" t="s">
        <v>49</v>
      </c>
      <c r="E63" s="628">
        <v>126000</v>
      </c>
      <c r="F63" s="13"/>
    </row>
    <row r="64" customHeight="1" spans="1:6">
      <c r="A64" s="10">
        <v>3</v>
      </c>
      <c r="B64" s="11" t="s">
        <v>165</v>
      </c>
      <c r="C64" s="4" t="s">
        <v>51</v>
      </c>
      <c r="D64" s="10" t="s">
        <v>52</v>
      </c>
      <c r="E64" s="628">
        <v>90000</v>
      </c>
      <c r="F64" s="13"/>
    </row>
    <row r="65" customHeight="1" spans="1:6">
      <c r="A65" s="10">
        <v>4</v>
      </c>
      <c r="B65" s="18" t="s">
        <v>846</v>
      </c>
      <c r="C65" s="17" t="s">
        <v>167</v>
      </c>
      <c r="D65" s="15" t="s">
        <v>502</v>
      </c>
      <c r="E65" s="628">
        <v>90000</v>
      </c>
      <c r="F65" s="13"/>
    </row>
    <row r="66" customHeight="1" spans="1:6">
      <c r="A66" s="10">
        <v>5</v>
      </c>
      <c r="B66" s="14" t="s">
        <v>847</v>
      </c>
      <c r="C66" s="17" t="s">
        <v>51</v>
      </c>
      <c r="D66" s="15" t="s">
        <v>189</v>
      </c>
      <c r="E66" s="628">
        <v>90000</v>
      </c>
      <c r="F66" s="13"/>
    </row>
    <row r="67" customHeight="1" spans="1:6">
      <c r="A67" s="10">
        <v>7</v>
      </c>
      <c r="B67" s="11" t="s">
        <v>169</v>
      </c>
      <c r="C67" s="4" t="s">
        <v>150</v>
      </c>
      <c r="D67" s="10" t="s">
        <v>131</v>
      </c>
      <c r="E67" s="628">
        <v>68000</v>
      </c>
      <c r="F67" s="13"/>
    </row>
    <row r="68" customHeight="1" spans="1:6">
      <c r="A68" s="10">
        <v>8</v>
      </c>
      <c r="B68" s="11" t="s">
        <v>171</v>
      </c>
      <c r="C68" s="17" t="s">
        <v>71</v>
      </c>
      <c r="D68" s="10" t="s">
        <v>131</v>
      </c>
      <c r="E68" s="628">
        <v>68000</v>
      </c>
      <c r="F68" s="13"/>
    </row>
    <row r="69" customHeight="1" spans="1:6">
      <c r="A69" s="10">
        <v>9</v>
      </c>
      <c r="B69" s="11" t="s">
        <v>172</v>
      </c>
      <c r="C69" s="17" t="s">
        <v>71</v>
      </c>
      <c r="D69" s="10" t="s">
        <v>131</v>
      </c>
      <c r="E69" s="628">
        <v>68000</v>
      </c>
      <c r="F69" s="13"/>
    </row>
    <row r="70" customHeight="1" spans="1:6">
      <c r="A70" s="10">
        <v>10</v>
      </c>
      <c r="B70" s="11" t="s">
        <v>173</v>
      </c>
      <c r="C70" s="4" t="s">
        <v>553</v>
      </c>
      <c r="D70" s="10" t="s">
        <v>69</v>
      </c>
      <c r="E70" s="628">
        <v>68000</v>
      </c>
      <c r="F70" s="13"/>
    </row>
    <row r="71" ht="21.6" customHeight="1" spans="1:5">
      <c r="A71" s="10">
        <v>11</v>
      </c>
      <c r="B71" s="11" t="s">
        <v>177</v>
      </c>
      <c r="C71" s="4" t="s">
        <v>150</v>
      </c>
      <c r="D71" s="10" t="s">
        <v>74</v>
      </c>
      <c r="E71" s="628">
        <v>68000</v>
      </c>
    </row>
    <row r="72" ht="27" customHeight="1" spans="1:6">
      <c r="A72" s="10"/>
      <c r="B72" s="20" t="s">
        <v>120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31"/>
      <c r="F73" s="13"/>
    </row>
    <row r="74" customHeight="1" spans="1:6">
      <c r="A74" s="10"/>
      <c r="B74" s="20" t="s">
        <v>180</v>
      </c>
      <c r="C74" s="21"/>
      <c r="D74" s="21"/>
      <c r="E74" s="631"/>
      <c r="F74" s="13"/>
    </row>
    <row r="75" customHeight="1" spans="1:6">
      <c r="A75" s="10">
        <v>1</v>
      </c>
      <c r="B75" s="11" t="s">
        <v>181</v>
      </c>
      <c r="C75" s="4" t="s">
        <v>182</v>
      </c>
      <c r="D75" s="10" t="s">
        <v>124</v>
      </c>
      <c r="E75" s="628">
        <v>270000</v>
      </c>
      <c r="F75" s="13"/>
    </row>
    <row r="76" customHeight="1" spans="1:6">
      <c r="A76" s="10">
        <v>2</v>
      </c>
      <c r="B76" s="14" t="s">
        <v>848</v>
      </c>
      <c r="C76" s="4" t="s">
        <v>849</v>
      </c>
      <c r="D76" s="15" t="s">
        <v>850</v>
      </c>
      <c r="E76" s="628">
        <v>126000</v>
      </c>
      <c r="F76" s="13"/>
    </row>
    <row r="77" customHeight="1" spans="1:6">
      <c r="A77" s="10">
        <v>3</v>
      </c>
      <c r="B77" s="18" t="s">
        <v>183</v>
      </c>
      <c r="C77" s="12" t="s">
        <v>851</v>
      </c>
      <c r="D77" s="10" t="s">
        <v>161</v>
      </c>
      <c r="E77" s="628">
        <v>126000</v>
      </c>
      <c r="F77" s="13"/>
    </row>
    <row r="78" customHeight="1" spans="1:6">
      <c r="A78" s="10">
        <v>4</v>
      </c>
      <c r="B78" s="11" t="s">
        <v>187</v>
      </c>
      <c r="C78" s="4" t="s">
        <v>188</v>
      </c>
      <c r="D78" s="15" t="s">
        <v>212</v>
      </c>
      <c r="E78" s="628">
        <v>90000</v>
      </c>
      <c r="F78" s="13"/>
    </row>
    <row r="79" customHeight="1" spans="1:6">
      <c r="A79" s="10">
        <v>5</v>
      </c>
      <c r="B79" s="11" t="s">
        <v>194</v>
      </c>
      <c r="C79" s="4" t="s">
        <v>179</v>
      </c>
      <c r="D79" s="10" t="s">
        <v>77</v>
      </c>
      <c r="E79" s="628">
        <v>68000</v>
      </c>
      <c r="F79" s="13"/>
    </row>
    <row r="80" customHeight="1" spans="1:6">
      <c r="A80" s="10">
        <v>6</v>
      </c>
      <c r="B80" s="11" t="s">
        <v>198</v>
      </c>
      <c r="C80" s="4" t="s">
        <v>179</v>
      </c>
      <c r="D80" s="10" t="s">
        <v>99</v>
      </c>
      <c r="E80" s="628">
        <v>54000</v>
      </c>
      <c r="F80" s="13"/>
    </row>
    <row r="81" customHeight="1" spans="1:6">
      <c r="A81" s="10">
        <v>7</v>
      </c>
      <c r="B81" s="11" t="s">
        <v>200</v>
      </c>
      <c r="C81" s="4" t="s">
        <v>201</v>
      </c>
      <c r="D81" s="10" t="s">
        <v>111</v>
      </c>
      <c r="E81" s="628">
        <v>54000</v>
      </c>
      <c r="F81" s="13"/>
    </row>
    <row r="82" customHeight="1" spans="1:6">
      <c r="A82" s="10"/>
      <c r="B82" s="20" t="s">
        <v>120</v>
      </c>
      <c r="C82" s="21">
        <v>7</v>
      </c>
      <c r="D82" s="21"/>
      <c r="E82" s="630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8"/>
      <c r="F83" s="13"/>
    </row>
    <row r="84" customHeight="1" spans="1:6">
      <c r="A84" s="10"/>
      <c r="B84" s="20" t="s">
        <v>202</v>
      </c>
      <c r="C84" s="25"/>
      <c r="D84" s="21"/>
      <c r="E84" s="628"/>
      <c r="F84" s="13"/>
    </row>
    <row r="85" customHeight="1" spans="1:6">
      <c r="A85" s="10">
        <v>1</v>
      </c>
      <c r="B85" s="11" t="s">
        <v>205</v>
      </c>
      <c r="C85" s="4" t="s">
        <v>142</v>
      </c>
      <c r="D85" s="10" t="s">
        <v>38</v>
      </c>
      <c r="E85" s="628">
        <v>126000</v>
      </c>
      <c r="F85" s="13"/>
    </row>
    <row r="86" customHeight="1" spans="1:6">
      <c r="A86" s="10">
        <v>2</v>
      </c>
      <c r="B86" s="11" t="s">
        <v>203</v>
      </c>
      <c r="C86" s="4" t="s">
        <v>142</v>
      </c>
      <c r="D86" s="10" t="s">
        <v>38</v>
      </c>
      <c r="E86" s="628">
        <v>126000</v>
      </c>
      <c r="F86" s="13"/>
    </row>
    <row r="87" customHeight="1" spans="1:6">
      <c r="A87" s="10">
        <v>3</v>
      </c>
      <c r="B87" s="11" t="s">
        <v>208</v>
      </c>
      <c r="C87" s="4" t="s">
        <v>142</v>
      </c>
      <c r="D87" s="10" t="s">
        <v>41</v>
      </c>
      <c r="E87" s="628">
        <v>126000</v>
      </c>
      <c r="F87" s="13"/>
    </row>
    <row r="88" ht="21.6" customHeight="1" spans="1:6">
      <c r="A88" s="10">
        <v>4</v>
      </c>
      <c r="B88" s="11" t="s">
        <v>209</v>
      </c>
      <c r="C88" s="4" t="s">
        <v>852</v>
      </c>
      <c r="D88" s="15" t="s">
        <v>55</v>
      </c>
      <c r="E88" s="628">
        <v>90000</v>
      </c>
      <c r="F88" s="13"/>
    </row>
    <row r="89" ht="21.6" customHeight="1" spans="1:6">
      <c r="A89" s="10">
        <v>5</v>
      </c>
      <c r="B89" s="11" t="s">
        <v>210</v>
      </c>
      <c r="C89" s="12" t="s">
        <v>167</v>
      </c>
      <c r="D89" s="15" t="s">
        <v>502</v>
      </c>
      <c r="E89" s="628">
        <v>90000</v>
      </c>
      <c r="F89" s="13"/>
    </row>
    <row r="90" ht="21.6" customHeight="1" spans="1:6">
      <c r="A90" s="10">
        <v>6</v>
      </c>
      <c r="B90" s="11" t="s">
        <v>211</v>
      </c>
      <c r="C90" s="12" t="s">
        <v>51</v>
      </c>
      <c r="D90" s="15" t="s">
        <v>501</v>
      </c>
      <c r="E90" s="628">
        <v>90000</v>
      </c>
      <c r="F90" s="13"/>
    </row>
    <row r="91" ht="21.6" customHeight="1" spans="1:6">
      <c r="A91" s="10">
        <v>7</v>
      </c>
      <c r="B91" s="11" t="s">
        <v>213</v>
      </c>
      <c r="C91" s="17" t="s">
        <v>71</v>
      </c>
      <c r="D91" s="15" t="s">
        <v>131</v>
      </c>
      <c r="E91" s="628">
        <v>68000</v>
      </c>
      <c r="F91" s="13"/>
    </row>
    <row r="92" ht="21.6" customHeight="1" spans="1:6">
      <c r="A92" s="10">
        <v>8</v>
      </c>
      <c r="B92" s="11" t="s">
        <v>214</v>
      </c>
      <c r="C92" s="17" t="s">
        <v>167</v>
      </c>
      <c r="D92" s="15" t="s">
        <v>66</v>
      </c>
      <c r="E92" s="628">
        <v>90000</v>
      </c>
      <c r="F92" s="13"/>
    </row>
    <row r="93" ht="21.6" customHeight="1" spans="1:6">
      <c r="A93" s="10">
        <v>9</v>
      </c>
      <c r="B93" s="11" t="s">
        <v>217</v>
      </c>
      <c r="C93" s="4" t="s">
        <v>218</v>
      </c>
      <c r="D93" s="10" t="s">
        <v>74</v>
      </c>
      <c r="E93" s="628">
        <v>68000</v>
      </c>
      <c r="F93" s="13"/>
    </row>
    <row r="94" ht="21.6" customHeight="1" spans="1:6">
      <c r="A94" s="10">
        <v>10</v>
      </c>
      <c r="B94" s="11" t="s">
        <v>221</v>
      </c>
      <c r="C94" s="17" t="s">
        <v>222</v>
      </c>
      <c r="D94" s="15" t="s">
        <v>108</v>
      </c>
      <c r="E94" s="628">
        <v>54000</v>
      </c>
      <c r="F94" s="13"/>
    </row>
    <row r="95" customHeight="1" spans="1:6">
      <c r="A95" s="10"/>
      <c r="B95" s="20" t="s">
        <v>120</v>
      </c>
      <c r="C95" s="21">
        <v>11</v>
      </c>
      <c r="D95" s="21"/>
      <c r="E95" s="630">
        <f>SUM(E85:E94)</f>
        <v>928000</v>
      </c>
      <c r="F95" s="13"/>
    </row>
    <row r="96" customHeight="1" spans="1:6">
      <c r="A96" s="10"/>
      <c r="B96" s="22"/>
      <c r="C96" s="21"/>
      <c r="D96" s="21"/>
      <c r="E96" s="631"/>
      <c r="F96" s="13"/>
    </row>
    <row r="97" customHeight="1" spans="1:6">
      <c r="A97" s="10"/>
      <c r="B97" s="20" t="s">
        <v>224</v>
      </c>
      <c r="C97" s="21"/>
      <c r="D97" s="21"/>
      <c r="E97" s="631"/>
      <c r="F97" s="13"/>
    </row>
    <row r="98" customHeight="1" spans="1:6">
      <c r="A98" s="10">
        <v>1</v>
      </c>
      <c r="B98" s="14" t="s">
        <v>225</v>
      </c>
      <c r="C98" s="4" t="s">
        <v>554</v>
      </c>
      <c r="D98" s="16" t="s">
        <v>505</v>
      </c>
      <c r="E98" s="628">
        <v>270000</v>
      </c>
      <c r="F98" s="13"/>
    </row>
    <row r="99" customHeight="1" spans="1:6">
      <c r="A99" s="10">
        <v>2</v>
      </c>
      <c r="B99" s="11" t="s">
        <v>227</v>
      </c>
      <c r="C99" s="4" t="s">
        <v>228</v>
      </c>
      <c r="D99" s="15" t="s">
        <v>212</v>
      </c>
      <c r="E99" s="628">
        <v>90000</v>
      </c>
      <c r="F99" s="13"/>
    </row>
    <row r="100" customHeight="1" spans="1:6">
      <c r="A100" s="10">
        <v>3</v>
      </c>
      <c r="B100" s="11" t="s">
        <v>233</v>
      </c>
      <c r="C100" s="4" t="s">
        <v>555</v>
      </c>
      <c r="D100" s="15" t="s">
        <v>69</v>
      </c>
      <c r="E100" s="628">
        <v>68000</v>
      </c>
      <c r="F100" s="13"/>
    </row>
    <row r="101" customHeight="1" spans="1:6">
      <c r="A101" s="10">
        <v>4</v>
      </c>
      <c r="B101" s="11" t="s">
        <v>234</v>
      </c>
      <c r="C101" s="4" t="s">
        <v>197</v>
      </c>
      <c r="D101" s="15" t="s">
        <v>74</v>
      </c>
      <c r="E101" s="628">
        <v>68000</v>
      </c>
      <c r="F101" s="13"/>
    </row>
    <row r="102" customHeight="1" spans="1:6">
      <c r="A102" s="4"/>
      <c r="B102" s="20" t="s">
        <v>120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31"/>
      <c r="F103" s="13"/>
    </row>
    <row r="104" customHeight="1" spans="1:6">
      <c r="A104" s="4"/>
      <c r="B104" s="20" t="s">
        <v>237</v>
      </c>
      <c r="C104" s="4"/>
      <c r="D104" s="4"/>
      <c r="E104" s="632"/>
      <c r="F104" s="13"/>
    </row>
    <row r="105" customHeight="1" spans="1:6">
      <c r="A105" s="4">
        <v>1</v>
      </c>
      <c r="B105" s="11" t="s">
        <v>556</v>
      </c>
      <c r="C105" s="12" t="s">
        <v>239</v>
      </c>
      <c r="D105" s="15" t="s">
        <v>124</v>
      </c>
      <c r="E105" s="628">
        <v>270000</v>
      </c>
      <c r="F105" s="13"/>
    </row>
    <row r="106" customHeight="1" spans="1:6">
      <c r="A106" s="4">
        <v>2</v>
      </c>
      <c r="B106" s="11" t="s">
        <v>240</v>
      </c>
      <c r="C106" s="4" t="s">
        <v>241</v>
      </c>
      <c r="D106" s="16" t="s">
        <v>35</v>
      </c>
      <c r="E106" s="628">
        <v>180000</v>
      </c>
      <c r="F106" s="13"/>
    </row>
    <row r="107" customHeight="1" spans="1:6">
      <c r="A107" s="4">
        <v>3</v>
      </c>
      <c r="B107" s="11" t="s">
        <v>242</v>
      </c>
      <c r="C107" s="4" t="s">
        <v>557</v>
      </c>
      <c r="D107" s="10" t="s">
        <v>55</v>
      </c>
      <c r="E107" s="628">
        <v>90000</v>
      </c>
      <c r="F107" s="13"/>
    </row>
    <row r="108" customHeight="1" spans="1:6">
      <c r="A108" s="4">
        <v>4</v>
      </c>
      <c r="B108" s="11" t="s">
        <v>244</v>
      </c>
      <c r="C108" s="4" t="s">
        <v>557</v>
      </c>
      <c r="D108" s="10" t="s">
        <v>55</v>
      </c>
      <c r="E108" s="628">
        <v>90000</v>
      </c>
      <c r="F108" s="13"/>
    </row>
    <row r="109" customHeight="1" spans="1:6">
      <c r="A109" s="4">
        <v>5</v>
      </c>
      <c r="B109" s="11" t="s">
        <v>247</v>
      </c>
      <c r="C109" s="4" t="s">
        <v>248</v>
      </c>
      <c r="D109" s="15" t="s">
        <v>853</v>
      </c>
      <c r="E109" s="628">
        <v>54000</v>
      </c>
      <c r="F109" s="13"/>
    </row>
    <row r="110" customHeight="1" spans="1:6">
      <c r="A110" s="4">
        <v>6</v>
      </c>
      <c r="B110" s="18" t="s">
        <v>250</v>
      </c>
      <c r="C110" s="4" t="s">
        <v>248</v>
      </c>
      <c r="D110" s="10" t="s">
        <v>223</v>
      </c>
      <c r="E110" s="628">
        <v>54000</v>
      </c>
      <c r="F110" s="13"/>
    </row>
    <row r="111" customHeight="1" spans="1:6">
      <c r="A111" s="4">
        <v>7</v>
      </c>
      <c r="B111" s="18" t="s">
        <v>251</v>
      </c>
      <c r="C111" s="4" t="s">
        <v>248</v>
      </c>
      <c r="D111" s="15" t="s">
        <v>108</v>
      </c>
      <c r="E111" s="628">
        <v>54000</v>
      </c>
      <c r="F111" s="13"/>
    </row>
    <row r="112" ht="25.5" customHeight="1" spans="1:6">
      <c r="A112" s="4"/>
      <c r="B112" s="20" t="s">
        <v>120</v>
      </c>
      <c r="C112" s="21">
        <v>7</v>
      </c>
      <c r="D112" s="4"/>
      <c r="E112" s="633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3"/>
      <c r="F113" s="13"/>
    </row>
    <row r="114" customHeight="1" spans="1:6">
      <c r="A114" s="10"/>
      <c r="B114" s="20" t="s">
        <v>255</v>
      </c>
      <c r="C114" s="21"/>
      <c r="D114" s="21"/>
      <c r="E114" s="631"/>
      <c r="F114" s="13"/>
    </row>
    <row r="115" customHeight="1" spans="1:6">
      <c r="A115" s="10">
        <v>1</v>
      </c>
      <c r="B115" s="14" t="s">
        <v>163</v>
      </c>
      <c r="C115" s="4" t="s">
        <v>142</v>
      </c>
      <c r="D115" s="10" t="s">
        <v>49</v>
      </c>
      <c r="E115" s="628">
        <v>126000</v>
      </c>
      <c r="F115" s="13"/>
    </row>
    <row r="116" ht="18.75" customHeight="1" spans="1:6">
      <c r="A116" s="10">
        <v>2</v>
      </c>
      <c r="B116" s="11" t="s">
        <v>257</v>
      </c>
      <c r="C116" s="4" t="s">
        <v>258</v>
      </c>
      <c r="D116" s="15" t="s">
        <v>69</v>
      </c>
      <c r="E116" s="628">
        <v>68000</v>
      </c>
      <c r="F116" s="13"/>
    </row>
    <row r="117" customHeight="1" spans="1:6">
      <c r="A117" s="10">
        <v>3</v>
      </c>
      <c r="B117" s="11" t="s">
        <v>190</v>
      </c>
      <c r="C117" s="12" t="s">
        <v>854</v>
      </c>
      <c r="D117" s="15" t="s">
        <v>170</v>
      </c>
      <c r="E117" s="628">
        <v>68000</v>
      </c>
      <c r="F117" s="13"/>
    </row>
    <row r="118" ht="24.75" customHeight="1" spans="1:6">
      <c r="A118" s="4"/>
      <c r="B118" s="20" t="s">
        <v>120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4"/>
      <c r="F119" s="13"/>
    </row>
    <row r="120" customHeight="1" spans="1:6">
      <c r="A120" s="4"/>
      <c r="B120" s="20" t="s">
        <v>279</v>
      </c>
      <c r="C120" s="21"/>
      <c r="D120" s="21"/>
      <c r="E120" s="628"/>
      <c r="F120" s="13"/>
    </row>
    <row r="121" customHeight="1" spans="1:6">
      <c r="A121" s="4">
        <v>1</v>
      </c>
      <c r="B121" s="11" t="s">
        <v>280</v>
      </c>
      <c r="C121" s="12" t="s">
        <v>281</v>
      </c>
      <c r="D121" s="15" t="s">
        <v>124</v>
      </c>
      <c r="E121" s="628">
        <v>270000</v>
      </c>
      <c r="F121" s="13"/>
    </row>
    <row r="122" customHeight="1" spans="1:6">
      <c r="A122" s="4">
        <v>2</v>
      </c>
      <c r="B122" s="11" t="s">
        <v>282</v>
      </c>
      <c r="C122" s="12" t="s">
        <v>558</v>
      </c>
      <c r="D122" s="15" t="s">
        <v>207</v>
      </c>
      <c r="E122" s="628">
        <v>180000</v>
      </c>
      <c r="F122" s="13"/>
    </row>
    <row r="123" customHeight="1" spans="1:6">
      <c r="A123" s="4">
        <v>3</v>
      </c>
      <c r="B123" s="14" t="s">
        <v>284</v>
      </c>
      <c r="C123" s="12" t="s">
        <v>559</v>
      </c>
      <c r="D123" s="15" t="s">
        <v>38</v>
      </c>
      <c r="E123" s="628">
        <v>126000</v>
      </c>
      <c r="F123" s="13"/>
    </row>
    <row r="124" customHeight="1" spans="1:6">
      <c r="A124" s="4">
        <v>4</v>
      </c>
      <c r="B124" s="14" t="s">
        <v>855</v>
      </c>
      <c r="C124" s="12" t="s">
        <v>559</v>
      </c>
      <c r="D124" s="15" t="s">
        <v>41</v>
      </c>
      <c r="E124" s="628">
        <v>126000</v>
      </c>
      <c r="F124" s="13"/>
    </row>
    <row r="125" customHeight="1" spans="1:6">
      <c r="A125" s="4">
        <v>5</v>
      </c>
      <c r="B125" s="11" t="s">
        <v>287</v>
      </c>
      <c r="C125" s="12" t="s">
        <v>289</v>
      </c>
      <c r="D125" s="15" t="s">
        <v>46</v>
      </c>
      <c r="E125" s="628">
        <v>90000</v>
      </c>
      <c r="F125" s="13"/>
    </row>
    <row r="126" customHeight="1" spans="1:6">
      <c r="A126" s="4">
        <v>6</v>
      </c>
      <c r="B126" s="11" t="s">
        <v>288</v>
      </c>
      <c r="C126" s="12" t="s">
        <v>560</v>
      </c>
      <c r="D126" s="15" t="s">
        <v>52</v>
      </c>
      <c r="E126" s="628">
        <v>90000</v>
      </c>
      <c r="F126" s="13"/>
    </row>
    <row r="127" customHeight="1" spans="1:6">
      <c r="A127" s="4">
        <v>7</v>
      </c>
      <c r="B127" s="11" t="s">
        <v>290</v>
      </c>
      <c r="C127" s="12" t="s">
        <v>289</v>
      </c>
      <c r="D127" s="15" t="s">
        <v>212</v>
      </c>
      <c r="E127" s="628">
        <v>90000</v>
      </c>
      <c r="F127" s="13"/>
    </row>
    <row r="128" customHeight="1" spans="1:6">
      <c r="A128" s="4">
        <v>8</v>
      </c>
      <c r="B128" s="11" t="s">
        <v>293</v>
      </c>
      <c r="C128" s="12" t="s">
        <v>561</v>
      </c>
      <c r="D128" s="10" t="s">
        <v>88</v>
      </c>
      <c r="E128" s="628">
        <v>54000</v>
      </c>
      <c r="F128" s="13"/>
    </row>
    <row r="129" customHeight="1" spans="1:6">
      <c r="A129" s="4">
        <v>9</v>
      </c>
      <c r="B129" s="18" t="s">
        <v>295</v>
      </c>
      <c r="C129" s="12" t="s">
        <v>296</v>
      </c>
      <c r="D129" s="15" t="s">
        <v>111</v>
      </c>
      <c r="E129" s="628">
        <v>54000</v>
      </c>
      <c r="F129" s="13"/>
    </row>
    <row r="130" customHeight="1" spans="1:6">
      <c r="A130" s="4">
        <v>10</v>
      </c>
      <c r="B130" s="18" t="s">
        <v>297</v>
      </c>
      <c r="C130" s="12" t="s">
        <v>292</v>
      </c>
      <c r="D130" s="15" t="s">
        <v>111</v>
      </c>
      <c r="E130" s="628">
        <v>54000</v>
      </c>
      <c r="F130" s="13"/>
    </row>
    <row r="131" ht="28.5" customHeight="1" spans="1:6">
      <c r="A131" s="4"/>
      <c r="B131" s="20" t="s">
        <v>120</v>
      </c>
      <c r="C131" s="26" t="s">
        <v>562</v>
      </c>
      <c r="D131" s="15"/>
      <c r="E131" s="631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31"/>
      <c r="F132" s="13"/>
    </row>
    <row r="133" customHeight="1" spans="1:6">
      <c r="A133" s="4"/>
      <c r="B133" s="20" t="s">
        <v>300</v>
      </c>
      <c r="C133" s="12"/>
      <c r="D133" s="15"/>
      <c r="E133" s="628"/>
      <c r="F133" s="13"/>
    </row>
    <row r="134" customHeight="1" spans="1:6">
      <c r="A134" s="27">
        <v>1</v>
      </c>
      <c r="B134" s="11" t="s">
        <v>856</v>
      </c>
      <c r="C134" s="12" t="s">
        <v>857</v>
      </c>
      <c r="D134" s="15" t="s">
        <v>124</v>
      </c>
      <c r="E134" s="628">
        <v>270000</v>
      </c>
      <c r="F134" s="13"/>
    </row>
    <row r="135" customHeight="1" spans="1:6">
      <c r="A135" s="27">
        <v>2</v>
      </c>
      <c r="B135" s="11" t="s">
        <v>858</v>
      </c>
      <c r="C135" s="12" t="s">
        <v>859</v>
      </c>
      <c r="D135" s="15" t="s">
        <v>35</v>
      </c>
      <c r="E135" s="628">
        <v>180000</v>
      </c>
      <c r="F135" s="13"/>
    </row>
    <row r="136" customHeight="1" spans="1:6">
      <c r="A136" s="27">
        <v>3</v>
      </c>
      <c r="B136" s="14" t="s">
        <v>304</v>
      </c>
      <c r="C136" s="4" t="s">
        <v>305</v>
      </c>
      <c r="D136" s="16" t="s">
        <v>35</v>
      </c>
      <c r="E136" s="628">
        <v>180000</v>
      </c>
      <c r="F136" s="13"/>
    </row>
    <row r="137" customHeight="1" spans="1:6">
      <c r="A137" s="27">
        <v>4</v>
      </c>
      <c r="B137" s="11" t="s">
        <v>306</v>
      </c>
      <c r="C137" s="12" t="s">
        <v>860</v>
      </c>
      <c r="D137" s="15" t="s">
        <v>189</v>
      </c>
      <c r="E137" s="628">
        <v>90000</v>
      </c>
      <c r="F137" s="13"/>
    </row>
    <row r="138" customHeight="1" spans="1:6">
      <c r="A138" s="27">
        <v>5</v>
      </c>
      <c r="B138" s="11" t="s">
        <v>308</v>
      </c>
      <c r="C138" s="4" t="s">
        <v>312</v>
      </c>
      <c r="D138" s="15" t="s">
        <v>189</v>
      </c>
      <c r="E138" s="628">
        <v>90000</v>
      </c>
      <c r="F138" s="13"/>
    </row>
    <row r="139" customHeight="1" spans="1:6">
      <c r="A139" s="27">
        <v>6</v>
      </c>
      <c r="B139" s="11" t="s">
        <v>310</v>
      </c>
      <c r="C139" s="4" t="s">
        <v>312</v>
      </c>
      <c r="D139" s="15" t="s">
        <v>189</v>
      </c>
      <c r="E139" s="628">
        <v>90000</v>
      </c>
      <c r="F139" s="13"/>
    </row>
    <row r="140" customHeight="1" spans="1:6">
      <c r="A140" s="27">
        <v>7</v>
      </c>
      <c r="B140" s="11" t="s">
        <v>229</v>
      </c>
      <c r="C140" s="12" t="s">
        <v>861</v>
      </c>
      <c r="D140" s="15" t="s">
        <v>170</v>
      </c>
      <c r="E140" s="628">
        <v>68000</v>
      </c>
      <c r="F140" s="13"/>
    </row>
    <row r="141" customHeight="1" spans="1:6">
      <c r="A141" s="27">
        <v>8</v>
      </c>
      <c r="B141" s="11" t="s">
        <v>313</v>
      </c>
      <c r="C141" s="12" t="s">
        <v>861</v>
      </c>
      <c r="D141" s="15" t="s">
        <v>170</v>
      </c>
      <c r="E141" s="628">
        <v>68000</v>
      </c>
      <c r="F141" s="13"/>
    </row>
    <row r="142" customHeight="1" spans="1:6">
      <c r="A142" s="27">
        <v>9</v>
      </c>
      <c r="B142" s="11" t="s">
        <v>314</v>
      </c>
      <c r="C142" s="4" t="s">
        <v>862</v>
      </c>
      <c r="D142" s="15" t="s">
        <v>170</v>
      </c>
      <c r="E142" s="628">
        <v>68000</v>
      </c>
      <c r="F142" s="13"/>
    </row>
    <row r="143" customHeight="1" spans="1:6">
      <c r="A143" s="27">
        <v>10</v>
      </c>
      <c r="B143" s="11" t="s">
        <v>316</v>
      </c>
      <c r="C143" s="12" t="s">
        <v>564</v>
      </c>
      <c r="D143" s="15" t="s">
        <v>69</v>
      </c>
      <c r="E143" s="628">
        <v>68000</v>
      </c>
      <c r="F143" s="13"/>
    </row>
    <row r="144" customHeight="1" spans="1:6">
      <c r="A144" s="27">
        <v>11</v>
      </c>
      <c r="B144" s="11" t="s">
        <v>318</v>
      </c>
      <c r="C144" s="12" t="s">
        <v>319</v>
      </c>
      <c r="D144" s="15" t="s">
        <v>131</v>
      </c>
      <c r="E144" s="628">
        <v>68000</v>
      </c>
      <c r="F144" s="13"/>
    </row>
    <row r="145" customHeight="1" spans="1:6">
      <c r="A145" s="27">
        <v>12</v>
      </c>
      <c r="B145" s="11" t="s">
        <v>61</v>
      </c>
      <c r="C145" s="12" t="s">
        <v>863</v>
      </c>
      <c r="D145" s="15" t="s">
        <v>170</v>
      </c>
      <c r="E145" s="628">
        <v>68000</v>
      </c>
      <c r="F145" s="13"/>
    </row>
    <row r="146" customHeight="1" spans="1:6">
      <c r="A146" s="27">
        <v>13</v>
      </c>
      <c r="B146" s="18" t="s">
        <v>320</v>
      </c>
      <c r="C146" s="4" t="s">
        <v>321</v>
      </c>
      <c r="D146" s="15" t="s">
        <v>504</v>
      </c>
      <c r="E146" s="628">
        <v>68000</v>
      </c>
      <c r="F146" s="13"/>
    </row>
    <row r="147" customHeight="1" spans="1:6">
      <c r="A147" s="27">
        <v>14</v>
      </c>
      <c r="B147" s="11" t="s">
        <v>322</v>
      </c>
      <c r="C147" s="4" t="s">
        <v>864</v>
      </c>
      <c r="D147" s="15" t="s">
        <v>77</v>
      </c>
      <c r="E147" s="628">
        <v>68000</v>
      </c>
      <c r="F147" s="13"/>
    </row>
    <row r="148" customHeight="1" spans="1:6">
      <c r="A148" s="27">
        <v>15</v>
      </c>
      <c r="B148" s="11" t="s">
        <v>323</v>
      </c>
      <c r="C148" s="4" t="s">
        <v>864</v>
      </c>
      <c r="D148" s="15" t="s">
        <v>151</v>
      </c>
      <c r="E148" s="628">
        <v>68000</v>
      </c>
      <c r="F148" s="13"/>
    </row>
    <row r="149" customHeight="1" spans="1:6">
      <c r="A149" s="27">
        <v>16</v>
      </c>
      <c r="B149" s="11" t="s">
        <v>325</v>
      </c>
      <c r="C149" s="4" t="s">
        <v>864</v>
      </c>
      <c r="D149" s="15" t="s">
        <v>151</v>
      </c>
      <c r="E149" s="628">
        <v>68000</v>
      </c>
      <c r="F149" s="13"/>
    </row>
    <row r="150" customHeight="1" spans="1:6">
      <c r="A150" s="27">
        <v>17</v>
      </c>
      <c r="B150" s="11" t="s">
        <v>326</v>
      </c>
      <c r="C150" s="12" t="s">
        <v>327</v>
      </c>
      <c r="D150" s="15" t="s">
        <v>74</v>
      </c>
      <c r="E150" s="628">
        <v>68000</v>
      </c>
      <c r="F150" s="13"/>
    </row>
    <row r="151" customHeight="1" spans="1:6">
      <c r="A151" s="27">
        <v>18</v>
      </c>
      <c r="B151" s="11" t="s">
        <v>328</v>
      </c>
      <c r="C151" s="12" t="s">
        <v>329</v>
      </c>
      <c r="D151" s="10" t="s">
        <v>99</v>
      </c>
      <c r="E151" s="628">
        <v>54000</v>
      </c>
      <c r="F151" s="13"/>
    </row>
    <row r="152" customHeight="1" spans="1:6">
      <c r="A152" s="27">
        <v>19</v>
      </c>
      <c r="B152" s="11" t="s">
        <v>330</v>
      </c>
      <c r="C152" s="12" t="s">
        <v>565</v>
      </c>
      <c r="D152" s="15" t="s">
        <v>77</v>
      </c>
      <c r="E152" s="628">
        <v>68000</v>
      </c>
      <c r="F152" s="13"/>
    </row>
    <row r="153" customHeight="1" spans="1:6">
      <c r="A153" s="27">
        <v>20</v>
      </c>
      <c r="B153" s="11" t="s">
        <v>332</v>
      </c>
      <c r="C153" s="12" t="s">
        <v>566</v>
      </c>
      <c r="D153" s="15" t="s">
        <v>88</v>
      </c>
      <c r="E153" s="628">
        <v>54000</v>
      </c>
      <c r="F153" s="13"/>
    </row>
    <row r="154" customHeight="1" spans="1:6">
      <c r="A154" s="27">
        <v>21</v>
      </c>
      <c r="B154" s="11" t="s">
        <v>334</v>
      </c>
      <c r="C154" s="12" t="s">
        <v>567</v>
      </c>
      <c r="D154" s="15" t="s">
        <v>77</v>
      </c>
      <c r="E154" s="628">
        <v>68000</v>
      </c>
      <c r="F154" s="13"/>
    </row>
    <row r="155" customHeight="1" spans="1:6">
      <c r="A155" s="27">
        <v>22</v>
      </c>
      <c r="B155" s="11" t="s">
        <v>335</v>
      </c>
      <c r="C155" s="12" t="s">
        <v>568</v>
      </c>
      <c r="D155" s="15" t="s">
        <v>88</v>
      </c>
      <c r="E155" s="628">
        <v>54000</v>
      </c>
      <c r="F155" s="13"/>
    </row>
    <row r="156" customHeight="1" spans="1:6">
      <c r="A156" s="27">
        <v>23</v>
      </c>
      <c r="B156" s="18" t="s">
        <v>337</v>
      </c>
      <c r="C156" s="12" t="s">
        <v>338</v>
      </c>
      <c r="D156" s="15" t="s">
        <v>344</v>
      </c>
      <c r="E156" s="628">
        <v>54000</v>
      </c>
      <c r="F156" s="13"/>
    </row>
    <row r="157" customHeight="1" spans="1:6">
      <c r="A157" s="27">
        <v>24</v>
      </c>
      <c r="B157" s="18" t="s">
        <v>345</v>
      </c>
      <c r="C157" s="12" t="s">
        <v>346</v>
      </c>
      <c r="D157" s="15" t="s">
        <v>111</v>
      </c>
      <c r="E157" s="628">
        <v>54000</v>
      </c>
      <c r="F157" s="13"/>
    </row>
    <row r="158" customHeight="1" spans="1:6">
      <c r="A158" s="27">
        <v>25</v>
      </c>
      <c r="B158" s="18" t="s">
        <v>347</v>
      </c>
      <c r="C158" s="12" t="s">
        <v>348</v>
      </c>
      <c r="D158" s="15" t="s">
        <v>111</v>
      </c>
      <c r="E158" s="628">
        <v>54000</v>
      </c>
      <c r="F158" s="13"/>
    </row>
    <row r="159" customHeight="1" spans="1:6">
      <c r="A159" s="27">
        <v>26</v>
      </c>
      <c r="B159" s="18" t="s">
        <v>349</v>
      </c>
      <c r="C159" s="12" t="s">
        <v>350</v>
      </c>
      <c r="D159" s="15" t="s">
        <v>111</v>
      </c>
      <c r="E159" s="628">
        <v>54000</v>
      </c>
      <c r="F159" s="13"/>
    </row>
    <row r="160" customHeight="1" spans="1:6">
      <c r="A160" s="27">
        <v>27</v>
      </c>
      <c r="B160" s="18" t="s">
        <v>351</v>
      </c>
      <c r="C160" s="12" t="s">
        <v>569</v>
      </c>
      <c r="D160" s="15" t="s">
        <v>108</v>
      </c>
      <c r="E160" s="628">
        <v>54000</v>
      </c>
      <c r="F160" s="13"/>
    </row>
    <row r="161" customHeight="1" spans="1:6">
      <c r="A161" s="27">
        <v>28</v>
      </c>
      <c r="B161" s="18" t="s">
        <v>352</v>
      </c>
      <c r="C161" s="12" t="s">
        <v>348</v>
      </c>
      <c r="D161" s="15" t="s">
        <v>111</v>
      </c>
      <c r="E161" s="628">
        <v>54000</v>
      </c>
      <c r="F161" s="13"/>
    </row>
    <row r="162" customHeight="1" spans="1:6">
      <c r="A162" s="27">
        <v>29</v>
      </c>
      <c r="B162" s="11" t="s">
        <v>361</v>
      </c>
      <c r="C162" s="12" t="s">
        <v>362</v>
      </c>
      <c r="D162" s="15" t="s">
        <v>388</v>
      </c>
      <c r="E162" s="628">
        <v>36000</v>
      </c>
      <c r="F162" s="13"/>
    </row>
    <row r="163" customHeight="1" spans="1:6">
      <c r="A163" s="27">
        <v>30</v>
      </c>
      <c r="B163" s="11" t="s">
        <v>364</v>
      </c>
      <c r="C163" s="12" t="s">
        <v>362</v>
      </c>
      <c r="D163" s="15" t="s">
        <v>388</v>
      </c>
      <c r="E163" s="628">
        <v>36000</v>
      </c>
      <c r="F163" s="13"/>
    </row>
    <row r="164" customHeight="1" spans="1:6">
      <c r="A164" s="27">
        <v>31</v>
      </c>
      <c r="B164" s="11" t="s">
        <v>570</v>
      </c>
      <c r="C164" s="12" t="s">
        <v>362</v>
      </c>
      <c r="D164" s="15" t="s">
        <v>388</v>
      </c>
      <c r="E164" s="628">
        <v>36000</v>
      </c>
      <c r="F164" s="13"/>
    </row>
    <row r="165" customHeight="1" spans="1:6">
      <c r="A165" s="27">
        <v>32</v>
      </c>
      <c r="B165" s="11" t="s">
        <v>365</v>
      </c>
      <c r="C165" s="12" t="s">
        <v>362</v>
      </c>
      <c r="D165" s="15" t="s">
        <v>388</v>
      </c>
      <c r="E165" s="628">
        <v>36000</v>
      </c>
      <c r="F165" s="13"/>
    </row>
    <row r="166" customHeight="1" spans="1:6">
      <c r="A166" s="27">
        <v>33</v>
      </c>
      <c r="B166" s="11" t="s">
        <v>366</v>
      </c>
      <c r="C166" s="12" t="s">
        <v>362</v>
      </c>
      <c r="D166" s="15" t="s">
        <v>388</v>
      </c>
      <c r="E166" s="628">
        <v>36000</v>
      </c>
      <c r="F166" s="13"/>
    </row>
    <row r="167" customHeight="1" spans="1:6">
      <c r="A167" s="27">
        <v>34</v>
      </c>
      <c r="B167" s="11" t="s">
        <v>367</v>
      </c>
      <c r="C167" s="12" t="s">
        <v>362</v>
      </c>
      <c r="D167" s="15" t="s">
        <v>381</v>
      </c>
      <c r="E167" s="628">
        <v>36000</v>
      </c>
      <c r="F167" s="13"/>
    </row>
    <row r="168" customHeight="1" spans="1:6">
      <c r="A168" s="27">
        <v>35</v>
      </c>
      <c r="B168" s="11" t="s">
        <v>369</v>
      </c>
      <c r="C168" s="12" t="s">
        <v>362</v>
      </c>
      <c r="D168" s="15" t="s">
        <v>381</v>
      </c>
      <c r="E168" s="628">
        <v>36000</v>
      </c>
      <c r="F168" s="13"/>
    </row>
    <row r="169" customHeight="1" spans="1:6">
      <c r="A169" s="27">
        <v>36</v>
      </c>
      <c r="B169" s="14" t="s">
        <v>370</v>
      </c>
      <c r="C169" s="12" t="s">
        <v>362</v>
      </c>
      <c r="D169" s="15" t="s">
        <v>381</v>
      </c>
      <c r="E169" s="628">
        <v>36000</v>
      </c>
      <c r="F169" s="13"/>
    </row>
    <row r="170" customHeight="1" spans="1:6">
      <c r="A170" s="27">
        <v>37</v>
      </c>
      <c r="B170" s="11" t="s">
        <v>371</v>
      </c>
      <c r="C170" s="12" t="s">
        <v>362</v>
      </c>
      <c r="D170" s="15" t="s">
        <v>381</v>
      </c>
      <c r="E170" s="628">
        <v>36000</v>
      </c>
      <c r="F170" s="13"/>
    </row>
    <row r="171" customHeight="1" spans="1:6">
      <c r="A171" s="27">
        <v>38</v>
      </c>
      <c r="B171" s="18" t="s">
        <v>372</v>
      </c>
      <c r="C171" s="12" t="s">
        <v>362</v>
      </c>
      <c r="D171" s="15" t="s">
        <v>381</v>
      </c>
      <c r="E171" s="628">
        <v>36000</v>
      </c>
      <c r="F171" s="13"/>
    </row>
    <row r="172" customHeight="1" spans="1:6">
      <c r="A172" s="27">
        <v>39</v>
      </c>
      <c r="B172" s="18" t="s">
        <v>359</v>
      </c>
      <c r="C172" s="12" t="s">
        <v>362</v>
      </c>
      <c r="D172" s="15" t="s">
        <v>381</v>
      </c>
      <c r="E172" s="628">
        <v>36000</v>
      </c>
      <c r="F172" s="13"/>
    </row>
    <row r="173" customHeight="1" spans="1:6">
      <c r="A173" s="27">
        <v>40</v>
      </c>
      <c r="B173" s="11" t="s">
        <v>373</v>
      </c>
      <c r="C173" s="12" t="s">
        <v>374</v>
      </c>
      <c r="D173" s="15" t="s">
        <v>511</v>
      </c>
      <c r="E173" s="628">
        <v>36000</v>
      </c>
      <c r="F173" s="13"/>
    </row>
    <row r="174" customHeight="1" spans="1:6">
      <c r="A174" s="27">
        <v>41</v>
      </c>
      <c r="B174" s="11" t="s">
        <v>376</v>
      </c>
      <c r="C174" s="12" t="s">
        <v>374</v>
      </c>
      <c r="D174" s="15" t="s">
        <v>511</v>
      </c>
      <c r="E174" s="628">
        <v>36000</v>
      </c>
      <c r="F174" s="13"/>
    </row>
    <row r="175" customHeight="1" spans="1:6">
      <c r="A175" s="27">
        <v>42</v>
      </c>
      <c r="B175" s="18" t="s">
        <v>377</v>
      </c>
      <c r="C175" s="12" t="s">
        <v>374</v>
      </c>
      <c r="D175" s="15" t="s">
        <v>510</v>
      </c>
      <c r="E175" s="628">
        <v>36000</v>
      </c>
      <c r="F175" s="13"/>
    </row>
    <row r="176" customHeight="1" spans="1:6">
      <c r="A176" s="27">
        <v>43</v>
      </c>
      <c r="B176" s="11" t="s">
        <v>379</v>
      </c>
      <c r="C176" s="12" t="s">
        <v>393</v>
      </c>
      <c r="D176" s="15" t="s">
        <v>512</v>
      </c>
      <c r="E176" s="628">
        <v>36000</v>
      </c>
      <c r="F176" s="13"/>
    </row>
    <row r="177" customHeight="1" spans="1:6">
      <c r="A177" s="27">
        <v>44</v>
      </c>
      <c r="B177" s="11" t="s">
        <v>382</v>
      </c>
      <c r="C177" s="12" t="s">
        <v>390</v>
      </c>
      <c r="D177" s="15" t="s">
        <v>573</v>
      </c>
      <c r="E177" s="628">
        <v>36000</v>
      </c>
      <c r="F177" s="13"/>
    </row>
    <row r="178" customHeight="1" spans="1:6">
      <c r="A178" s="27">
        <v>45</v>
      </c>
      <c r="B178" s="11" t="s">
        <v>383</v>
      </c>
      <c r="C178" s="12" t="s">
        <v>390</v>
      </c>
      <c r="D178" s="15" t="s">
        <v>573</v>
      </c>
      <c r="E178" s="628">
        <v>36000</v>
      </c>
      <c r="F178" s="13"/>
    </row>
    <row r="179" customHeight="1" spans="1:6">
      <c r="A179" s="27">
        <v>46</v>
      </c>
      <c r="B179" s="11" t="s">
        <v>384</v>
      </c>
      <c r="C179" s="12" t="s">
        <v>390</v>
      </c>
      <c r="D179" s="15" t="s">
        <v>573</v>
      </c>
      <c r="E179" s="628">
        <v>36000</v>
      </c>
      <c r="F179" s="13"/>
    </row>
    <row r="180" customHeight="1" spans="1:6">
      <c r="A180" s="27">
        <v>47</v>
      </c>
      <c r="B180" s="11" t="s">
        <v>385</v>
      </c>
      <c r="C180" s="12" t="s">
        <v>390</v>
      </c>
      <c r="D180" s="15" t="s">
        <v>573</v>
      </c>
      <c r="E180" s="628">
        <v>36000</v>
      </c>
      <c r="F180" s="13"/>
    </row>
    <row r="181" customHeight="1" spans="1:6">
      <c r="A181" s="27">
        <v>48</v>
      </c>
      <c r="B181" s="11" t="s">
        <v>386</v>
      </c>
      <c r="C181" s="12" t="s">
        <v>390</v>
      </c>
      <c r="D181" s="15" t="s">
        <v>573</v>
      </c>
      <c r="E181" s="628">
        <v>36000</v>
      </c>
      <c r="F181" s="13"/>
    </row>
    <row r="182" customHeight="1" spans="1:6">
      <c r="A182" s="27">
        <v>49</v>
      </c>
      <c r="B182" s="18" t="s">
        <v>387</v>
      </c>
      <c r="C182" s="12" t="s">
        <v>390</v>
      </c>
      <c r="D182" s="15" t="s">
        <v>573</v>
      </c>
      <c r="E182" s="628">
        <v>36000</v>
      </c>
      <c r="F182" s="13"/>
    </row>
    <row r="183" customHeight="1" spans="1:6">
      <c r="A183" s="27">
        <v>50</v>
      </c>
      <c r="B183" s="18" t="s">
        <v>389</v>
      </c>
      <c r="C183" s="12" t="s">
        <v>390</v>
      </c>
      <c r="D183" s="15" t="s">
        <v>573</v>
      </c>
      <c r="E183" s="628">
        <v>36000</v>
      </c>
      <c r="F183" s="13"/>
    </row>
    <row r="184" customHeight="1" spans="1:6">
      <c r="A184" s="27">
        <v>51</v>
      </c>
      <c r="B184" s="11" t="s">
        <v>572</v>
      </c>
      <c r="C184" s="12" t="s">
        <v>393</v>
      </c>
      <c r="D184" s="15" t="s">
        <v>573</v>
      </c>
      <c r="E184" s="628">
        <v>36000</v>
      </c>
      <c r="F184" s="13"/>
    </row>
    <row r="185" customHeight="1" spans="1:6">
      <c r="A185" s="27">
        <v>52</v>
      </c>
      <c r="B185" s="11" t="s">
        <v>392</v>
      </c>
      <c r="C185" s="12" t="s">
        <v>393</v>
      </c>
      <c r="D185" s="15" t="s">
        <v>573</v>
      </c>
      <c r="E185" s="628">
        <v>36000</v>
      </c>
      <c r="F185" s="13"/>
    </row>
    <row r="186" customHeight="1" spans="1:6">
      <c r="A186" s="27">
        <v>53</v>
      </c>
      <c r="B186" s="18" t="s">
        <v>360</v>
      </c>
      <c r="C186" s="12" t="s">
        <v>395</v>
      </c>
      <c r="D186" s="15" t="s">
        <v>396</v>
      </c>
      <c r="E186" s="628">
        <v>36000</v>
      </c>
      <c r="F186" s="13"/>
    </row>
    <row r="187" customHeight="1" spans="1:6">
      <c r="A187" s="27">
        <v>54</v>
      </c>
      <c r="B187" s="18" t="s">
        <v>397</v>
      </c>
      <c r="C187" s="12" t="s">
        <v>390</v>
      </c>
      <c r="D187" s="15" t="s">
        <v>403</v>
      </c>
      <c r="E187" s="628">
        <v>36000</v>
      </c>
      <c r="F187" s="13"/>
    </row>
    <row r="188" customHeight="1" spans="1:6">
      <c r="A188" s="27">
        <v>55</v>
      </c>
      <c r="B188" s="18" t="s">
        <v>401</v>
      </c>
      <c r="C188" s="12" t="s">
        <v>402</v>
      </c>
      <c r="D188" s="15" t="s">
        <v>865</v>
      </c>
      <c r="E188" s="628">
        <v>36000</v>
      </c>
      <c r="F188" s="13"/>
    </row>
    <row r="189" customHeight="1" spans="1:6">
      <c r="A189" s="27">
        <v>56</v>
      </c>
      <c r="B189" s="18" t="s">
        <v>404</v>
      </c>
      <c r="C189" s="12" t="s">
        <v>402</v>
      </c>
      <c r="D189" s="15" t="s">
        <v>865</v>
      </c>
      <c r="E189" s="628">
        <v>36000</v>
      </c>
      <c r="F189" s="13"/>
    </row>
    <row r="190" customHeight="1" spans="1:6">
      <c r="A190" s="27">
        <v>57</v>
      </c>
      <c r="B190" s="18" t="s">
        <v>405</v>
      </c>
      <c r="C190" s="12" t="s">
        <v>402</v>
      </c>
      <c r="D190" s="15" t="s">
        <v>865</v>
      </c>
      <c r="E190" s="628">
        <v>36000</v>
      </c>
      <c r="F190" s="13"/>
    </row>
    <row r="191" customHeight="1" spans="1:6">
      <c r="A191" s="27">
        <v>58</v>
      </c>
      <c r="B191" s="18" t="s">
        <v>406</v>
      </c>
      <c r="C191" s="12" t="s">
        <v>407</v>
      </c>
      <c r="D191" s="15" t="s">
        <v>398</v>
      </c>
      <c r="E191" s="628">
        <v>36000</v>
      </c>
      <c r="F191" s="13"/>
    </row>
    <row r="192" customHeight="1" spans="1:6">
      <c r="A192" s="27">
        <v>59</v>
      </c>
      <c r="B192" s="18" t="s">
        <v>409</v>
      </c>
      <c r="C192" s="12" t="s">
        <v>407</v>
      </c>
      <c r="D192" s="15" t="s">
        <v>398</v>
      </c>
      <c r="E192" s="628">
        <v>36000</v>
      </c>
      <c r="F192" s="13"/>
    </row>
    <row r="193" ht="30.75" customHeight="1" spans="1:6">
      <c r="A193" s="27"/>
      <c r="B193" s="8" t="s">
        <v>120</v>
      </c>
      <c r="C193" s="28" t="s">
        <v>866</v>
      </c>
      <c r="D193" s="29"/>
      <c r="E193" s="630">
        <f t="shared" ref="E193" si="7">SUM(E134:E192)</f>
        <v>3386000</v>
      </c>
      <c r="F193" s="13"/>
    </row>
    <row r="194" ht="35.25" customHeight="1" spans="1:6">
      <c r="A194" s="4"/>
      <c r="B194" s="30" t="s">
        <v>411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5">
        <v>1</v>
      </c>
      <c r="B2" s="625" t="s">
        <v>599</v>
      </c>
      <c r="C2" s="626">
        <f>'Welfare June'!E194</f>
        <v>13858000</v>
      </c>
      <c r="D2" s="625"/>
      <c r="E2" s="625"/>
    </row>
    <row r="3" ht="20.5" spans="1:5">
      <c r="A3" s="625">
        <v>2</v>
      </c>
      <c r="B3" s="625" t="s">
        <v>600</v>
      </c>
      <c r="C3" s="626">
        <f>'[7]CONTRACT Welfare'!$E$26</f>
        <v>1688000</v>
      </c>
      <c r="D3" s="625"/>
      <c r="E3" s="625"/>
    </row>
    <row r="4" ht="20.5" spans="1:5">
      <c r="A4" s="625">
        <v>3</v>
      </c>
      <c r="B4" s="625" t="s">
        <v>601</v>
      </c>
      <c r="C4" s="626">
        <f>'[7]CAS. SABB. NYSC Welfare'!$D$58</f>
        <v>1791000</v>
      </c>
      <c r="D4" s="625"/>
      <c r="E4" s="625"/>
    </row>
    <row r="5" ht="20.5" spans="1:5">
      <c r="A5" s="625">
        <v>4</v>
      </c>
      <c r="B5" s="625" t="s">
        <v>998</v>
      </c>
      <c r="C5" s="626">
        <f>'[7]CONSULTANCY Welfare'!$D$31</f>
        <v>1746000</v>
      </c>
      <c r="D5" s="625"/>
      <c r="E5" s="625"/>
    </row>
    <row r="6" ht="20.5" spans="1:5">
      <c r="A6" s="625">
        <v>5</v>
      </c>
      <c r="B6" s="625" t="s">
        <v>1040</v>
      </c>
      <c r="C6" s="626">
        <f>'[7]Welfare Others'!$C$92</f>
        <v>1225000</v>
      </c>
      <c r="D6" s="625"/>
      <c r="E6" s="625"/>
    </row>
    <row r="7" ht="27" customHeight="1" spans="1:5">
      <c r="A7" s="625"/>
      <c r="B7" s="625"/>
      <c r="C7" s="627">
        <f>SUM(C2:C6)</f>
        <v>20308000</v>
      </c>
      <c r="D7" s="625"/>
      <c r="E7" s="625"/>
    </row>
    <row r="8" ht="20.5" spans="1:5">
      <c r="A8" s="625"/>
      <c r="B8" s="625"/>
      <c r="C8" s="625"/>
      <c r="D8" s="625"/>
      <c r="E8" s="625"/>
    </row>
    <row r="9" ht="20.5" spans="1:5">
      <c r="A9" s="625"/>
      <c r="B9" s="625"/>
      <c r="C9" s="625"/>
      <c r="D9" s="625"/>
      <c r="E9" s="625"/>
    </row>
    <row r="10" ht="20.5" spans="1:5">
      <c r="A10" s="625"/>
      <c r="B10" s="625"/>
      <c r="C10" s="625"/>
      <c r="D10" s="625"/>
      <c r="E10" s="625"/>
    </row>
    <row r="11" ht="20.5" spans="1:5">
      <c r="A11" s="625"/>
      <c r="B11" s="625"/>
      <c r="C11" s="625"/>
      <c r="D11" s="625"/>
      <c r="E11" s="625"/>
    </row>
    <row r="12" ht="20.5" spans="1:5">
      <c r="A12" s="625"/>
      <c r="B12" s="625"/>
      <c r="C12" s="625"/>
      <c r="D12" s="625"/>
      <c r="E12" s="625"/>
    </row>
    <row r="13" ht="20.5" spans="1:5">
      <c r="A13" s="625"/>
      <c r="B13" s="625"/>
      <c r="C13" s="625"/>
      <c r="D13" s="625"/>
      <c r="E13" s="625"/>
    </row>
    <row r="14" ht="20.5" spans="1:5">
      <c r="A14" s="625"/>
      <c r="B14" s="625"/>
      <c r="C14" s="625"/>
      <c r="D14" s="625"/>
      <c r="E14" s="625"/>
    </row>
    <row r="15" ht="20.5" spans="1:5">
      <c r="A15" s="625"/>
      <c r="B15" s="625"/>
      <c r="C15" s="625"/>
      <c r="D15" s="625"/>
      <c r="E15" s="625"/>
    </row>
    <row r="16" ht="20.5" spans="1:5">
      <c r="A16" s="625"/>
      <c r="B16" s="625"/>
      <c r="C16" s="625"/>
      <c r="D16" s="625"/>
      <c r="E16" s="625"/>
    </row>
    <row r="17" ht="20.5" spans="1:5">
      <c r="A17" s="625"/>
      <c r="B17" s="625"/>
      <c r="C17" s="625"/>
      <c r="D17" s="625"/>
      <c r="E17" s="625"/>
    </row>
  </sheetData>
  <pageMargins left="0.7" right="0.7" top="0.75" bottom="0.75" header="0.3" footer="0.3"/>
  <pageSetup paperSize="1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3" t="s">
        <v>1041</v>
      </c>
      <c r="E1" s="624" t="s">
        <v>1042</v>
      </c>
      <c r="F1" s="624" t="s">
        <v>1043</v>
      </c>
      <c r="G1" s="624" t="s">
        <v>1044</v>
      </c>
      <c r="H1" s="624" t="s">
        <v>1045</v>
      </c>
      <c r="I1" s="624" t="s">
        <v>1046</v>
      </c>
    </row>
    <row r="2" s="1" customFormat="1" ht="33" customHeight="1" spans="1:9">
      <c r="A2" s="18" t="s">
        <v>183</v>
      </c>
      <c r="B2" s="18" t="s">
        <v>851</v>
      </c>
      <c r="C2" s="10" t="s">
        <v>161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1047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813</v>
      </c>
      <c r="M4" s="218" t="s">
        <v>814</v>
      </c>
      <c r="N4" s="218" t="s">
        <v>14</v>
      </c>
      <c r="O4" s="24" t="s">
        <v>15</v>
      </c>
      <c r="P4" s="24" t="s">
        <v>977</v>
      </c>
      <c r="Q4" s="24" t="s">
        <v>1043</v>
      </c>
      <c r="R4" s="218" t="s">
        <v>16</v>
      </c>
      <c r="S4" s="347" t="s">
        <v>17</v>
      </c>
      <c r="T4" s="80" t="s">
        <v>1048</v>
      </c>
      <c r="U4" s="321" t="s">
        <v>1049</v>
      </c>
    </row>
    <row r="5" ht="17.25" customHeight="1" spans="3:21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82" t="s">
        <v>20</v>
      </c>
      <c r="S5" s="449" t="s">
        <v>20</v>
      </c>
      <c r="T5" s="82" t="s">
        <v>20</v>
      </c>
      <c r="U5" s="230" t="s">
        <v>20</v>
      </c>
    </row>
    <row r="6" customHeight="1" spans="1:21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26</v>
      </c>
      <c r="C7" s="12" t="s">
        <v>27</v>
      </c>
      <c r="D7" s="10" t="s">
        <v>28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29</v>
      </c>
      <c r="C8" s="4" t="s">
        <v>30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301</v>
      </c>
      <c r="C9" s="4" t="s">
        <v>832</v>
      </c>
      <c r="D9" s="10" t="s">
        <v>28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216451.569850667</v>
      </c>
      <c r="Q9" s="85">
        <f t="shared" si="3"/>
        <v>57244.0422399997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833</v>
      </c>
      <c r="C10" s="10" t="s">
        <v>834</v>
      </c>
      <c r="D10" s="10" t="s">
        <v>28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19200.0000000003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205</v>
      </c>
      <c r="C11" s="4" t="s">
        <v>142</v>
      </c>
      <c r="D11" s="10" t="s">
        <v>38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36</v>
      </c>
      <c r="C12" s="4" t="s">
        <v>37</v>
      </c>
      <c r="D12" s="10" t="s">
        <v>41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44</v>
      </c>
      <c r="C13" s="4" t="s">
        <v>45</v>
      </c>
      <c r="D13" s="10" t="s">
        <v>52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53</v>
      </c>
      <c r="C14" s="4" t="s">
        <v>54</v>
      </c>
      <c r="D14" s="15" t="s">
        <v>58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67</v>
      </c>
      <c r="C15" s="17" t="s">
        <v>68</v>
      </c>
      <c r="D15" s="10" t="s">
        <v>504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72</v>
      </c>
      <c r="C16" s="17" t="s">
        <v>73</v>
      </c>
      <c r="D16" s="10" t="s">
        <v>80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120</v>
      </c>
      <c r="C17" s="28" t="s">
        <v>562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1479081.22693867</v>
      </c>
      <c r="Q17" s="93">
        <f t="shared" si="5"/>
        <v>230044.042239999</v>
      </c>
      <c r="R17" s="93">
        <v>1130905.06</v>
      </c>
      <c r="S17" s="622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1050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F8" sqref="F8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63" t="s">
        <v>616</v>
      </c>
      <c r="AA4" s="477"/>
      <c r="AB4" s="477" t="s">
        <v>808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67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f>852373.166666667+100000</f>
        <v>952373.166666667</v>
      </c>
      <c r="D7" s="466">
        <v>12</v>
      </c>
      <c r="E7" s="467">
        <f t="shared" ref="E7:E32" si="14">C7*D7</f>
        <v>11428478</v>
      </c>
      <c r="F7" s="467"/>
      <c r="G7" s="467">
        <v>731878.24</v>
      </c>
      <c r="H7" s="467"/>
      <c r="I7" s="467">
        <f t="shared" si="0"/>
        <v>10696599.76</v>
      </c>
      <c r="J7" s="467">
        <v>200000</v>
      </c>
      <c r="K7" s="467">
        <v>0.2</v>
      </c>
      <c r="L7" s="467">
        <f t="shared" si="1"/>
        <v>2139319.952</v>
      </c>
      <c r="M7" s="467">
        <f t="shared" si="2"/>
        <v>2339319.952</v>
      </c>
      <c r="N7" s="467">
        <f t="shared" si="3"/>
        <v>3071198.192</v>
      </c>
      <c r="O7" s="467">
        <f t="shared" si="4"/>
        <v>8357279.808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1237747.15392</v>
      </c>
      <c r="V7" s="467">
        <f t="shared" si="11"/>
        <v>1797747.15392</v>
      </c>
      <c r="W7" s="474">
        <v>12</v>
      </c>
      <c r="X7" s="467">
        <f t="shared" si="12"/>
        <v>149812.262826667</v>
      </c>
      <c r="Y7" s="467"/>
      <c r="Z7" s="467">
        <f t="shared" si="13"/>
        <v>149812.262826667</v>
      </c>
      <c r="AA7" s="479">
        <v>82627.9514186667</v>
      </c>
      <c r="AB7" s="479">
        <f t="shared" ref="AB7:AB32" si="15">Z7-AA7</f>
        <v>67184.311408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f>1052373.16666667+100000</f>
        <v>1152373.16666667</v>
      </c>
      <c r="D8" s="466">
        <v>12</v>
      </c>
      <c r="E8" s="467">
        <f t="shared" si="14"/>
        <v>13828478</v>
      </c>
      <c r="F8" s="467"/>
      <c r="G8" s="467">
        <v>0</v>
      </c>
      <c r="H8" s="467"/>
      <c r="I8" s="467">
        <f t="shared" si="0"/>
        <v>13828478</v>
      </c>
      <c r="J8" s="467">
        <v>200000</v>
      </c>
      <c r="K8" s="467">
        <v>0.2</v>
      </c>
      <c r="L8" s="467">
        <f t="shared" si="1"/>
        <v>2765695.60000001</v>
      </c>
      <c r="M8" s="467">
        <f t="shared" si="2"/>
        <v>2965695.60000001</v>
      </c>
      <c r="N8" s="467">
        <f t="shared" si="3"/>
        <v>2965695.60000001</v>
      </c>
      <c r="O8" s="467">
        <f t="shared" si="4"/>
        <v>10862782.4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1839067.77600001</v>
      </c>
      <c r="V8" s="467">
        <f t="shared" si="11"/>
        <v>2399067.77600001</v>
      </c>
      <c r="W8" s="474">
        <v>12</v>
      </c>
      <c r="X8" s="467">
        <f t="shared" si="12"/>
        <v>199922.314666667</v>
      </c>
      <c r="Y8" s="467"/>
      <c r="Z8" s="467">
        <f t="shared" si="13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67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615">
        <v>1300519.22</v>
      </c>
      <c r="D10" s="466">
        <v>12</v>
      </c>
      <c r="E10" s="467">
        <f t="shared" si="14"/>
        <v>15606230.64</v>
      </c>
      <c r="F10" s="467">
        <f>'[6]JANUARY 2024'!$V$10*12</f>
        <v>12795.951</v>
      </c>
      <c r="G10" s="467">
        <v>731878.24</v>
      </c>
      <c r="H10" s="467"/>
      <c r="I10" s="467">
        <f t="shared" si="0"/>
        <v>14861556.449</v>
      </c>
      <c r="J10" s="467">
        <v>200000</v>
      </c>
      <c r="K10" s="467">
        <v>0.2</v>
      </c>
      <c r="L10" s="467">
        <f t="shared" si="1"/>
        <v>2972311.2898</v>
      </c>
      <c r="M10" s="467">
        <f t="shared" si="2"/>
        <v>3172311.2898</v>
      </c>
      <c r="N10" s="467">
        <f t="shared" si="3"/>
        <v>3916985.4808</v>
      </c>
      <c r="O10" s="467">
        <f t="shared" si="4"/>
        <v>11689245.1592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2037418.838208</v>
      </c>
      <c r="V10" s="467">
        <f t="shared" si="11"/>
        <v>2597418.838208</v>
      </c>
      <c r="W10" s="474">
        <v>12</v>
      </c>
      <c r="X10" s="467">
        <f t="shared" si="12"/>
        <v>216451.569850667</v>
      </c>
      <c r="Y10" s="467"/>
      <c r="Z10" s="467">
        <f t="shared" si="13"/>
        <v>216451.569850667</v>
      </c>
      <c r="AA10" s="479">
        <v>111223.216202667</v>
      </c>
      <c r="AB10" s="479">
        <f t="shared" si="15"/>
        <v>105228.353648</v>
      </c>
      <c r="AC10" s="479"/>
      <c r="AD10" s="479"/>
      <c r="AE10" s="479"/>
    </row>
    <row r="11" ht="18" spans="1:31">
      <c r="A11" s="464">
        <v>8</v>
      </c>
      <c r="B11" s="18" t="s">
        <v>833</v>
      </c>
      <c r="C11" s="465">
        <f>952373.166666667+100000</f>
        <v>1052373.16666667</v>
      </c>
      <c r="D11" s="466">
        <v>12</v>
      </c>
      <c r="E11" s="467">
        <f t="shared" si="14"/>
        <v>12628478</v>
      </c>
      <c r="F11" s="467"/>
      <c r="G11" s="467">
        <v>0</v>
      </c>
      <c r="H11" s="467"/>
      <c r="I11" s="467">
        <f t="shared" si="0"/>
        <v>12628478</v>
      </c>
      <c r="J11" s="467">
        <v>200000</v>
      </c>
      <c r="K11" s="467">
        <v>0.2</v>
      </c>
      <c r="L11" s="467">
        <f t="shared" si="1"/>
        <v>2525695.60000001</v>
      </c>
      <c r="M11" s="467">
        <f t="shared" si="2"/>
        <v>2725695.60000001</v>
      </c>
      <c r="N11" s="467">
        <f t="shared" si="3"/>
        <v>2725695.60000001</v>
      </c>
      <c r="O11" s="467">
        <f t="shared" si="4"/>
        <v>9902782.40000003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1608667.77600001</v>
      </c>
      <c r="V11" s="467">
        <f t="shared" si="11"/>
        <v>2168667.77600001</v>
      </c>
      <c r="W11" s="474">
        <v>12</v>
      </c>
      <c r="X11" s="467">
        <f t="shared" si="12"/>
        <v>180722.314666667</v>
      </c>
      <c r="Y11" s="467"/>
      <c r="Z11" s="467">
        <f t="shared" si="13"/>
        <v>180722.314666667</v>
      </c>
      <c r="AA11" s="479">
        <v>101827.951418667</v>
      </c>
      <c r="AB11" s="479">
        <f t="shared" si="15"/>
        <v>78894.3632480003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67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f>842118.083333333+100000</f>
        <v>942118.083333333</v>
      </c>
      <c r="D13" s="466">
        <v>12</v>
      </c>
      <c r="E13" s="467">
        <f t="shared" si="14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10737277.688</v>
      </c>
      <c r="J13" s="467">
        <v>200000</v>
      </c>
      <c r="K13" s="467">
        <v>0.2</v>
      </c>
      <c r="L13" s="467">
        <f t="shared" si="1"/>
        <v>2147455.5376</v>
      </c>
      <c r="M13" s="467">
        <f t="shared" si="2"/>
        <v>2347455.5376</v>
      </c>
      <c r="N13" s="467">
        <f t="shared" si="3"/>
        <v>2915594.8496</v>
      </c>
      <c r="O13" s="467">
        <f t="shared" si="4"/>
        <v>8389822.1504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1245557.316096</v>
      </c>
      <c r="V13" s="467">
        <f t="shared" si="11"/>
        <v>1805557.316096</v>
      </c>
      <c r="W13" s="474">
        <v>12</v>
      </c>
      <c r="X13" s="467">
        <f t="shared" si="12"/>
        <v>150463.109674667</v>
      </c>
      <c r="Y13" s="467"/>
      <c r="Z13" s="467">
        <f t="shared" si="13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67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67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f>732746.5+100000</f>
        <v>832746.5</v>
      </c>
      <c r="D16" s="466">
        <v>12</v>
      </c>
      <c r="E16" s="467">
        <f t="shared" si="14"/>
        <v>9992958</v>
      </c>
      <c r="F16" s="467"/>
      <c r="G16" s="467">
        <v>425036.64</v>
      </c>
      <c r="H16" s="467"/>
      <c r="I16" s="467">
        <f t="shared" si="0"/>
        <v>9567921.36</v>
      </c>
      <c r="J16" s="467">
        <v>200000</v>
      </c>
      <c r="K16" s="467">
        <v>0.2</v>
      </c>
      <c r="L16" s="467">
        <f t="shared" si="1"/>
        <v>1913584.272</v>
      </c>
      <c r="M16" s="467">
        <f t="shared" si="2"/>
        <v>2113584.272</v>
      </c>
      <c r="N16" s="467">
        <f t="shared" si="3"/>
        <v>2538620.912</v>
      </c>
      <c r="O16" s="467">
        <f t="shared" si="4"/>
        <v>7454337.088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1021040.90112</v>
      </c>
      <c r="V16" s="467">
        <f t="shared" si="11"/>
        <v>1581040.90112</v>
      </c>
      <c r="W16" s="474">
        <v>12</v>
      </c>
      <c r="X16" s="467">
        <f t="shared" si="12"/>
        <v>131753.408426667</v>
      </c>
      <c r="Y16" s="467"/>
      <c r="Z16" s="467">
        <f t="shared" si="13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67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67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14"/>
        <v>8832323</v>
      </c>
      <c r="F19" s="467">
        <f>618.53*12</f>
        <v>7422.36</v>
      </c>
      <c r="G19" s="467">
        <v>399385.84</v>
      </c>
      <c r="H19" s="467"/>
      <c r="I19" s="467">
        <f t="shared" si="0"/>
        <v>8425514.8</v>
      </c>
      <c r="J19" s="467">
        <v>200000</v>
      </c>
      <c r="K19" s="467">
        <v>0.2</v>
      </c>
      <c r="L19" s="467">
        <f t="shared" si="1"/>
        <v>1685102.96</v>
      </c>
      <c r="M19" s="467">
        <f t="shared" si="2"/>
        <v>1885102.96</v>
      </c>
      <c r="N19" s="467">
        <f t="shared" si="3"/>
        <v>2291911.16</v>
      </c>
      <c r="O19" s="467">
        <f t="shared" si="4"/>
        <v>6540411.84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801698.841600001</v>
      </c>
      <c r="V19" s="467">
        <f t="shared" si="11"/>
        <v>1361698.8416</v>
      </c>
      <c r="W19" s="474">
        <v>12</v>
      </c>
      <c r="X19" s="467">
        <f t="shared" si="12"/>
        <v>113474.903466667</v>
      </c>
      <c r="Y19" s="467"/>
      <c r="Z19" s="467">
        <f t="shared" si="13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64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67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67</v>
      </c>
      <c r="C21" s="465">
        <f>553512.5+100000</f>
        <v>653512.5</v>
      </c>
      <c r="D21" s="466">
        <v>12</v>
      </c>
      <c r="E21" s="467">
        <f t="shared" si="14"/>
        <v>7842150</v>
      </c>
      <c r="F21" s="467"/>
      <c r="G21" s="467">
        <v>339372</v>
      </c>
      <c r="H21" s="467"/>
      <c r="I21" s="467">
        <f t="shared" si="0"/>
        <v>7502778</v>
      </c>
      <c r="J21" s="467">
        <v>200000</v>
      </c>
      <c r="K21" s="467">
        <v>0.2</v>
      </c>
      <c r="L21" s="467">
        <f t="shared" si="1"/>
        <v>1500555.6</v>
      </c>
      <c r="M21" s="467">
        <f t="shared" si="2"/>
        <v>1700555.6</v>
      </c>
      <c r="N21" s="467">
        <f t="shared" si="3"/>
        <v>2039927.6</v>
      </c>
      <c r="O21" s="467">
        <f t="shared" si="4"/>
        <v>5802222.4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624533.376</v>
      </c>
      <c r="V21" s="467">
        <f t="shared" si="11"/>
        <v>1184533.376</v>
      </c>
      <c r="W21" s="474">
        <v>12</v>
      </c>
      <c r="X21" s="467">
        <f t="shared" si="12"/>
        <v>98711.1146666667</v>
      </c>
      <c r="Y21" s="467"/>
      <c r="Z21" s="467">
        <f t="shared" si="13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70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67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72</v>
      </c>
      <c r="C23" s="465">
        <f>453029.666666667+100000</f>
        <v>553029.666666667</v>
      </c>
      <c r="D23" s="466">
        <v>12</v>
      </c>
      <c r="E23" s="467">
        <f t="shared" si="14"/>
        <v>6636356</v>
      </c>
      <c r="F23" s="467"/>
      <c r="G23" s="467">
        <v>281308.48</v>
      </c>
      <c r="H23" s="467"/>
      <c r="I23" s="467">
        <f t="shared" si="0"/>
        <v>6355047.52</v>
      </c>
      <c r="J23" s="467">
        <v>200000</v>
      </c>
      <c r="K23" s="467">
        <v>0.2</v>
      </c>
      <c r="L23" s="467">
        <f t="shared" si="1"/>
        <v>1271009.504</v>
      </c>
      <c r="M23" s="467">
        <f t="shared" si="2"/>
        <v>1471009.504</v>
      </c>
      <c r="N23" s="467">
        <f t="shared" si="3"/>
        <v>1752317.984</v>
      </c>
      <c r="O23" s="467">
        <f t="shared" si="4"/>
        <v>4884038.016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404169.123840001</v>
      </c>
      <c r="V23" s="467">
        <f t="shared" si="11"/>
        <v>964169.123840001</v>
      </c>
      <c r="W23" s="474">
        <v>12</v>
      </c>
      <c r="X23" s="467">
        <f t="shared" si="12"/>
        <v>80347.4269866667</v>
      </c>
      <c r="Y23" s="467"/>
      <c r="Z23" s="467">
        <f t="shared" si="13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485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67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78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67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67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83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67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86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67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89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67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91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67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95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67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103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67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121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122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67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127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67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129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67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137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837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67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839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67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138</v>
      </c>
      <c r="C42" s="616">
        <v>1019203.58333333</v>
      </c>
      <c r="D42" s="466">
        <v>12</v>
      </c>
      <c r="E42" s="467">
        <f t="shared" si="34"/>
        <v>12230443</v>
      </c>
      <c r="F42" s="470"/>
      <c r="G42" s="468">
        <v>709635.44</v>
      </c>
      <c r="H42" s="470"/>
      <c r="I42" s="467">
        <f t="shared" si="31"/>
        <v>11520807.56</v>
      </c>
      <c r="J42" s="467">
        <v>200000</v>
      </c>
      <c r="K42" s="467">
        <v>0.2</v>
      </c>
      <c r="L42" s="467">
        <f t="shared" si="1"/>
        <v>2304161.512</v>
      </c>
      <c r="M42" s="467">
        <f t="shared" si="2"/>
        <v>2504161.512</v>
      </c>
      <c r="N42" s="467">
        <f t="shared" si="32"/>
        <v>3213796.952</v>
      </c>
      <c r="O42" s="467">
        <f t="shared" si="33"/>
        <v>9016646.048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1395995.05152</v>
      </c>
      <c r="V42" s="467">
        <f t="shared" si="11"/>
        <v>1955995.05152</v>
      </c>
      <c r="W42" s="474">
        <v>12</v>
      </c>
      <c r="X42" s="467">
        <f t="shared" si="12"/>
        <v>162999.587626667</v>
      </c>
      <c r="Y42" s="470"/>
      <c r="Z42" s="467">
        <f t="shared" si="13"/>
        <v>162999.587626667</v>
      </c>
      <c r="AA42" s="479">
        <v>97273.5138506667</v>
      </c>
      <c r="AB42" s="479">
        <f t="shared" si="35"/>
        <v>65726.0737759999</v>
      </c>
      <c r="AC42" s="479"/>
      <c r="AD42" s="479"/>
      <c r="AE42" s="479"/>
    </row>
    <row r="43" ht="18" spans="1:31">
      <c r="A43" s="464">
        <v>38</v>
      </c>
      <c r="B43" s="11" t="s">
        <v>141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67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143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67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144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67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145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67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149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67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153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67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840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67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154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67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156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157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67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159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67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162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842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67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844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67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165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67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846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67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847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67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169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67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171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67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172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67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173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67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177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67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181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67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848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67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183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67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187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67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194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67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198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67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200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67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120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202</v>
      </c>
      <c r="C79" s="467"/>
      <c r="AB79" s="296" t="s">
        <v>937</v>
      </c>
      <c r="AC79" s="479"/>
      <c r="AD79" s="479"/>
      <c r="AE79" s="479"/>
    </row>
    <row r="80" ht="18" spans="1:31">
      <c r="A80" s="464">
        <v>68</v>
      </c>
      <c r="B80" s="11" t="s">
        <v>205</v>
      </c>
      <c r="C80" s="467">
        <f>880675.583333333+100000</f>
        <v>980675.583333333</v>
      </c>
      <c r="D80" s="466">
        <v>12</v>
      </c>
      <c r="E80" s="467">
        <f>C80*D80</f>
        <v>11768107</v>
      </c>
      <c r="F80" s="467"/>
      <c r="G80" s="468">
        <v>595848.56</v>
      </c>
      <c r="H80" s="470"/>
      <c r="I80" s="467">
        <f t="shared" ref="I80:I89" si="67">E80-F80-G80-H80</f>
        <v>11172258.44</v>
      </c>
      <c r="J80" s="467">
        <v>200000</v>
      </c>
      <c r="K80" s="467">
        <v>0.2</v>
      </c>
      <c r="L80" s="467">
        <f t="shared" ref="L80:L89" si="68">I80*K80</f>
        <v>2234451.688</v>
      </c>
      <c r="M80" s="467">
        <f t="shared" ref="M80:M89" si="69">J80+L80</f>
        <v>2434451.688</v>
      </c>
      <c r="N80" s="467">
        <f t="shared" ref="N80:N89" si="70">F80+G80+H80+M80</f>
        <v>3030300.248</v>
      </c>
      <c r="O80" s="467">
        <f t="shared" ref="O80:O89" si="71">E80-N80</f>
        <v>8737806.752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1329073.62048</v>
      </c>
      <c r="V80" s="467">
        <f t="shared" ref="V80:V89" si="78">P80+Q80+R80+S80+T80+U80</f>
        <v>1889073.62048</v>
      </c>
      <c r="W80" s="474">
        <v>12</v>
      </c>
      <c r="X80" s="467">
        <f t="shared" ref="X80:X89" si="79">V80/W80</f>
        <v>157422.801706667</v>
      </c>
      <c r="Y80" s="470"/>
      <c r="Z80" s="467">
        <f t="shared" ref="Z80:Z89" si="80">X80</f>
        <v>157422.801706667</v>
      </c>
      <c r="AA80" s="467">
        <v>99156.9391466667</v>
      </c>
      <c r="AB80" s="479">
        <f>Z80-AA80</f>
        <v>58265.8625599999</v>
      </c>
      <c r="AC80" s="479" t="s">
        <v>205</v>
      </c>
      <c r="AD80" s="479"/>
      <c r="AE80" s="479"/>
    </row>
    <row r="81" ht="18" spans="1:31">
      <c r="A81" s="464">
        <v>69</v>
      </c>
      <c r="B81" s="11" t="s">
        <v>203</v>
      </c>
      <c r="C81" s="616">
        <v>942373.17</v>
      </c>
      <c r="D81" s="466">
        <v>12</v>
      </c>
      <c r="E81" s="467">
        <f t="shared" ref="E81:E87" si="81">C81*D81</f>
        <v>11308478.04</v>
      </c>
      <c r="F81" s="467">
        <f>'[6]JANUARY 2024'!$V$86*12</f>
        <v>10052.25</v>
      </c>
      <c r="G81" s="468">
        <v>595848.56</v>
      </c>
      <c r="H81" s="470"/>
      <c r="I81" s="467">
        <f t="shared" si="67"/>
        <v>10702577.23</v>
      </c>
      <c r="J81" s="467">
        <v>200000</v>
      </c>
      <c r="K81" s="467">
        <v>0.2</v>
      </c>
      <c r="L81" s="467">
        <f t="shared" si="68"/>
        <v>2140515.446</v>
      </c>
      <c r="M81" s="467">
        <f t="shared" si="69"/>
        <v>2340515.446</v>
      </c>
      <c r="N81" s="467">
        <f t="shared" si="70"/>
        <v>2946416.256</v>
      </c>
      <c r="O81" s="467">
        <f t="shared" si="71"/>
        <v>8362061.784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1238894.82816</v>
      </c>
      <c r="V81" s="467">
        <f t="shared" si="78"/>
        <v>1798894.82816</v>
      </c>
      <c r="W81" s="474">
        <v>12</v>
      </c>
      <c r="X81" s="467">
        <f t="shared" si="79"/>
        <v>149907.902346667</v>
      </c>
      <c r="Y81" s="470"/>
      <c r="Z81" s="467">
        <f t="shared" si="80"/>
        <v>149907.902346667</v>
      </c>
      <c r="AA81" s="467">
        <v>98996.1031466667</v>
      </c>
      <c r="AB81" s="479">
        <f t="shared" ref="AB81:AB87" si="82">Z81-AA81</f>
        <v>50911.7992</v>
      </c>
      <c r="AC81" s="479" t="s">
        <v>203</v>
      </c>
      <c r="AD81" s="479"/>
      <c r="AE81" s="479"/>
    </row>
    <row r="82" ht="36" spans="1:31">
      <c r="A82" s="464">
        <v>70</v>
      </c>
      <c r="B82" s="11" t="s">
        <v>208</v>
      </c>
      <c r="C82" s="467">
        <v>587895.166666667</v>
      </c>
      <c r="D82" s="466">
        <v>12</v>
      </c>
      <c r="E82" s="467">
        <f t="shared" si="81"/>
        <v>7054742</v>
      </c>
      <c r="F82" s="467"/>
      <c r="G82" s="468">
        <v>558833.36</v>
      </c>
      <c r="H82" s="470"/>
      <c r="I82" s="467">
        <f t="shared" si="67"/>
        <v>6495908.64</v>
      </c>
      <c r="J82" s="467">
        <v>200000</v>
      </c>
      <c r="K82" s="467">
        <v>0.2</v>
      </c>
      <c r="L82" s="467">
        <f t="shared" si="68"/>
        <v>1299181.728</v>
      </c>
      <c r="M82" s="467">
        <f t="shared" si="69"/>
        <v>1499181.728</v>
      </c>
      <c r="N82" s="467">
        <f t="shared" si="70"/>
        <v>2058015.088</v>
      </c>
      <c r="O82" s="467">
        <f t="shared" si="71"/>
        <v>4996726.912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431214.458880001</v>
      </c>
      <c r="V82" s="467">
        <f t="shared" si="78"/>
        <v>991214.458880001</v>
      </c>
      <c r="W82" s="474">
        <v>12</v>
      </c>
      <c r="X82" s="467">
        <f t="shared" si="79"/>
        <v>82601.2049066667</v>
      </c>
      <c r="Y82" s="470"/>
      <c r="Z82" s="467">
        <f t="shared" si="80"/>
        <v>82601.2049066667</v>
      </c>
      <c r="AA82" s="467">
        <v>79956.9391466667</v>
      </c>
      <c r="AB82" s="479">
        <f t="shared" si="82"/>
        <v>2644.26576000001</v>
      </c>
      <c r="AC82" s="479" t="s">
        <v>208</v>
      </c>
      <c r="AD82" s="479"/>
      <c r="AE82" s="479"/>
    </row>
    <row r="83" ht="18" spans="1:31">
      <c r="A83" s="464">
        <v>71</v>
      </c>
      <c r="B83" s="11" t="s">
        <v>209</v>
      </c>
      <c r="C83" s="467">
        <v>582746.5</v>
      </c>
      <c r="D83" s="466">
        <v>12</v>
      </c>
      <c r="E83" s="467">
        <f t="shared" si="81"/>
        <v>6992958</v>
      </c>
      <c r="F83" s="467"/>
      <c r="G83" s="468">
        <v>424132.72</v>
      </c>
      <c r="H83" s="470"/>
      <c r="I83" s="467">
        <f t="shared" si="67"/>
        <v>6568825.28</v>
      </c>
      <c r="J83" s="467">
        <v>200000</v>
      </c>
      <c r="K83" s="467">
        <v>0.2</v>
      </c>
      <c r="L83" s="467">
        <f t="shared" si="68"/>
        <v>1313765.056</v>
      </c>
      <c r="M83" s="467">
        <f t="shared" si="69"/>
        <v>1513765.056</v>
      </c>
      <c r="N83" s="467">
        <f t="shared" si="70"/>
        <v>1937897.776</v>
      </c>
      <c r="O83" s="467">
        <f t="shared" si="71"/>
        <v>5055060.224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445214.45376</v>
      </c>
      <c r="V83" s="467">
        <f t="shared" si="78"/>
        <v>1005214.45376</v>
      </c>
      <c r="W83" s="474">
        <v>12</v>
      </c>
      <c r="X83" s="467">
        <f t="shared" si="79"/>
        <v>83767.8711466667</v>
      </c>
      <c r="Y83" s="470"/>
      <c r="Z83" s="467">
        <f t="shared" si="80"/>
        <v>83767.8711466667</v>
      </c>
      <c r="AA83" s="467">
        <v>75574.6772906667</v>
      </c>
      <c r="AB83" s="479">
        <f t="shared" si="82"/>
        <v>8193.19385599995</v>
      </c>
      <c r="AC83" s="479" t="s">
        <v>209</v>
      </c>
      <c r="AD83" s="479"/>
      <c r="AE83" s="479"/>
    </row>
    <row r="84" ht="18" spans="1:31">
      <c r="A84" s="464">
        <v>72</v>
      </c>
      <c r="B84" s="11" t="s">
        <v>210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67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210</v>
      </c>
      <c r="AD84" s="479"/>
      <c r="AE84" s="479"/>
    </row>
    <row r="85" ht="36" spans="1:31">
      <c r="A85" s="464">
        <v>73</v>
      </c>
      <c r="B85" s="11" t="s">
        <v>211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67">
        <v>49548.7761866667</v>
      </c>
      <c r="AB85" s="479">
        <f t="shared" si="82"/>
        <v>31753.61976</v>
      </c>
      <c r="AC85" s="479" t="s">
        <v>211</v>
      </c>
      <c r="AD85" s="479"/>
      <c r="AE85" s="479"/>
    </row>
    <row r="86" ht="18" spans="1:31">
      <c r="A86" s="464">
        <v>74</v>
      </c>
      <c r="B86" s="11" t="s">
        <v>213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67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213</v>
      </c>
      <c r="AD86" s="479"/>
      <c r="AE86" s="479"/>
    </row>
    <row r="87" ht="24" customHeight="1" spans="1:31">
      <c r="A87" s="464">
        <v>75</v>
      </c>
      <c r="B87" s="11" t="s">
        <v>214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67">
        <v>41242.0361406667</v>
      </c>
      <c r="AB87" s="479">
        <f t="shared" si="82"/>
        <v>29287.439214</v>
      </c>
      <c r="AC87" s="479" t="s">
        <v>214</v>
      </c>
      <c r="AD87" s="479"/>
      <c r="AE87" s="479"/>
    </row>
    <row r="88" ht="18" spans="1:31">
      <c r="A88" s="464">
        <v>76</v>
      </c>
      <c r="B88" s="11" t="s">
        <v>217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67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217</v>
      </c>
      <c r="AD88" s="479"/>
      <c r="AE88" s="479"/>
    </row>
    <row r="89" ht="18" spans="1:31">
      <c r="A89" s="464"/>
      <c r="B89" s="11" t="s">
        <v>221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67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221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224</v>
      </c>
      <c r="C92" s="467"/>
      <c r="AC92" s="479"/>
      <c r="AD92" s="479"/>
      <c r="AE92" s="479"/>
    </row>
    <row r="93" ht="18" spans="1:31">
      <c r="A93" s="464">
        <v>79</v>
      </c>
      <c r="B93" s="14" t="s">
        <v>225</v>
      </c>
      <c r="C93" s="467">
        <v>1452042.67</v>
      </c>
      <c r="D93" s="466">
        <v>12</v>
      </c>
      <c r="E93" s="467">
        <f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67">
        <f>X93</f>
        <v>236486.748679467</v>
      </c>
      <c r="AA93" s="479">
        <v>82423.2162026667</v>
      </c>
      <c r="AB93" s="479">
        <f>Z93-AA93</f>
        <v>154063.5324768</v>
      </c>
      <c r="AC93" s="479" t="s">
        <v>225</v>
      </c>
      <c r="AD93" s="479"/>
      <c r="AE93" s="479"/>
    </row>
    <row r="94" ht="18" spans="1:31">
      <c r="A94" s="464">
        <v>80</v>
      </c>
      <c r="B94" s="11" t="s">
        <v>227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67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227</v>
      </c>
      <c r="AD94" s="479"/>
      <c r="AE94" s="479"/>
    </row>
    <row r="95" ht="18" spans="1:31">
      <c r="A95" s="464">
        <v>81</v>
      </c>
      <c r="B95" s="11" t="s">
        <v>233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67">
        <f>X95</f>
        <v>56938.0689066667</v>
      </c>
      <c r="AA95" s="479">
        <v>43492.3733766667</v>
      </c>
      <c r="AB95" s="479">
        <f t="shared" si="87"/>
        <v>13445.69553</v>
      </c>
      <c r="AC95" s="479" t="s">
        <v>233</v>
      </c>
      <c r="AD95" s="479"/>
      <c r="AE95" s="479"/>
    </row>
    <row r="96" ht="18" spans="1:31">
      <c r="A96" s="464"/>
      <c r="B96" s="11" t="s">
        <v>234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67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234</v>
      </c>
      <c r="AD96" s="479"/>
      <c r="AE96" s="479"/>
    </row>
    <row r="97" ht="17.5" spans="1:31">
      <c r="A97" s="464"/>
      <c r="B97" s="20" t="s">
        <v>120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237</v>
      </c>
      <c r="C99" s="467"/>
      <c r="G99" s="296">
        <v>0</v>
      </c>
      <c r="AB99" s="296" t="s">
        <v>808</v>
      </c>
      <c r="AC99" s="479"/>
      <c r="AD99" s="479"/>
      <c r="AE99" s="479"/>
    </row>
    <row r="100" ht="18" spans="1:31">
      <c r="A100" s="464">
        <v>85</v>
      </c>
      <c r="B100" s="11" t="s">
        <v>556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67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556</v>
      </c>
      <c r="AD100" s="479"/>
      <c r="AE100" s="479"/>
    </row>
    <row r="101" ht="18" spans="1:31">
      <c r="A101" s="464">
        <v>86</v>
      </c>
      <c r="B101" s="11" t="s">
        <v>240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67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240</v>
      </c>
      <c r="AD101" s="479"/>
      <c r="AE101" s="479"/>
    </row>
    <row r="102" ht="18" spans="1:31">
      <c r="A102" s="464">
        <v>87</v>
      </c>
      <c r="B102" s="11" t="s">
        <v>242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67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242</v>
      </c>
      <c r="AD102" s="479"/>
      <c r="AE102" s="479"/>
    </row>
    <row r="103" ht="18" spans="1:31">
      <c r="A103" s="464">
        <v>88</v>
      </c>
      <c r="B103" s="11" t="s">
        <v>244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67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244</v>
      </c>
      <c r="AD103" s="479"/>
      <c r="AE103" s="479"/>
    </row>
    <row r="104" ht="18" spans="1:31">
      <c r="A104" s="464">
        <v>89</v>
      </c>
      <c r="B104" s="11" t="s">
        <v>247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67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247</v>
      </c>
      <c r="AD104" s="479"/>
      <c r="AE104" s="479"/>
    </row>
    <row r="105" ht="36" spans="1:31">
      <c r="A105" s="464"/>
      <c r="B105" s="18" t="s">
        <v>250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67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250</v>
      </c>
      <c r="AD105" s="479"/>
      <c r="AE105" s="479"/>
    </row>
    <row r="106" ht="18" spans="1:31">
      <c r="A106" s="464"/>
      <c r="B106" s="18" t="s">
        <v>251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67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251</v>
      </c>
      <c r="AD106" s="479"/>
      <c r="AE106" s="479"/>
    </row>
    <row r="107" ht="17.5" spans="1:31">
      <c r="A107" s="464"/>
      <c r="B107" s="20" t="s">
        <v>120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255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163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67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257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67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190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67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279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280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67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282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67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284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67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855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67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287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67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288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67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290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67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293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67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295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67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297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67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120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300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856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67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858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67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304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67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306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67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308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67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310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67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229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67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313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67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314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67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316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67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318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67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61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67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320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67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322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67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323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67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325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67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326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67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328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67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330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67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332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67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334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67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335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67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337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67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345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67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347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67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349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67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351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67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352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67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361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67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364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67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570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67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365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67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366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67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367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67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369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67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370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67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371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67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372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67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359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67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373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67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376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67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377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67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379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67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382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67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383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67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384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67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385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67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386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67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387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67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389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67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572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67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392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67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360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67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397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67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401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67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404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67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405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67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406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67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409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486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8" t="s">
        <v>938</v>
      </c>
      <c r="C188" s="617">
        <f>SUM(C6:C187)</f>
        <v>81138359.696105</v>
      </c>
      <c r="D188" s="618"/>
      <c r="E188" s="469"/>
      <c r="F188" s="619">
        <f>SUM(F6:F187)</f>
        <v>276375.747</v>
      </c>
      <c r="G188" s="619">
        <f>SUM(G6:G187)</f>
        <v>55339851.6032</v>
      </c>
      <c r="H188" s="620"/>
      <c r="I188" s="620"/>
      <c r="J188" s="620"/>
      <c r="K188" s="620"/>
      <c r="L188" s="620"/>
      <c r="M188" s="620"/>
      <c r="N188" s="620"/>
      <c r="O188" s="620"/>
      <c r="P188" s="620"/>
      <c r="Q188" s="620"/>
      <c r="R188" s="620"/>
      <c r="S188" s="620"/>
      <c r="T188" s="620"/>
      <c r="U188" s="620"/>
      <c r="V188" s="619">
        <f>SUM(V6:V187)</f>
        <v>139961283.78982</v>
      </c>
      <c r="W188" s="619"/>
      <c r="X188" s="619">
        <f t="shared" ref="X188" si="137">SUM(X6:X187)</f>
        <v>11663440.3158183</v>
      </c>
      <c r="Y188" s="619"/>
      <c r="Z188" s="619">
        <f t="shared" ref="Z188" si="138">SUM(Z6:Z187)</f>
        <v>11663440.3158183</v>
      </c>
      <c r="AA188" s="620"/>
      <c r="AB188" s="620"/>
    </row>
    <row r="189" ht="26.25" customHeight="1" spans="2:28">
      <c r="B189" s="30" t="s">
        <v>939</v>
      </c>
      <c r="C189" s="617"/>
      <c r="D189" s="618"/>
      <c r="E189" s="618"/>
      <c r="F189" s="621">
        <f>F188/12</f>
        <v>23031.31225</v>
      </c>
      <c r="G189" s="621">
        <f>G188/12</f>
        <v>4611654.30026666</v>
      </c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1">
        <f>V188/12</f>
        <v>11663440.3158183</v>
      </c>
      <c r="W189" s="618"/>
      <c r="X189" s="618"/>
      <c r="Y189" s="618"/>
      <c r="Z189" s="618"/>
      <c r="AA189" s="620"/>
      <c r="AB189" s="620"/>
    </row>
    <row r="190" ht="17.5" spans="2:6">
      <c r="B190" s="33"/>
      <c r="C190" s="479"/>
      <c r="F190" s="498"/>
    </row>
    <row r="191" ht="13" spans="6:26">
      <c r="F191" s="499"/>
      <c r="Z191" s="619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1051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813</v>
      </c>
      <c r="M4" s="218" t="s">
        <v>814</v>
      </c>
      <c r="N4" s="218" t="s">
        <v>14</v>
      </c>
      <c r="O4" s="24" t="s">
        <v>15</v>
      </c>
      <c r="P4" s="218" t="s">
        <v>16</v>
      </c>
      <c r="Q4" s="347" t="s">
        <v>17</v>
      </c>
      <c r="R4" s="80" t="s">
        <v>1048</v>
      </c>
      <c r="S4" s="321" t="s">
        <v>1049</v>
      </c>
    </row>
    <row r="5" ht="17.25" customHeight="1" spans="3:19"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307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449" t="s">
        <v>20</v>
      </c>
      <c r="R5" s="82" t="s">
        <v>20</v>
      </c>
      <c r="S5" s="230" t="s">
        <v>20</v>
      </c>
    </row>
    <row r="6" customHeight="1" spans="1:20">
      <c r="A6" s="10"/>
      <c r="B6" s="20" t="s">
        <v>224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225</v>
      </c>
      <c r="C7" s="4" t="s">
        <v>554</v>
      </c>
      <c r="D7" s="16" t="s">
        <v>35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225</v>
      </c>
      <c r="C8" s="4" t="s">
        <v>554</v>
      </c>
      <c r="D8" s="15" t="s">
        <v>505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-439722.532264533</v>
      </c>
    </row>
    <row r="9" ht="35.25" customHeight="1" spans="1:20">
      <c r="A9" s="4"/>
      <c r="B9" s="30" t="s">
        <v>1043</v>
      </c>
      <c r="C9" s="31" t="e">
        <f>#REF!+#REF!+#REF!+#REF!+#REF!+#REF!+#REF!+#REF!+#REF!+#REF!+#REF!</f>
        <v>#REF!</v>
      </c>
      <c r="D9" s="32"/>
      <c r="E9" s="227">
        <f>E8-E7</f>
        <v>589669.5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439722.532264533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1052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1053</v>
      </c>
      <c r="F5" s="218" t="s">
        <v>1054</v>
      </c>
      <c r="G5" s="218" t="s">
        <v>1055</v>
      </c>
      <c r="H5" s="218" t="s">
        <v>1056</v>
      </c>
      <c r="I5" s="218" t="s">
        <v>1043</v>
      </c>
    </row>
    <row r="6" ht="17.25" customHeight="1" spans="3:9"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</row>
    <row r="7" ht="20.1" customHeight="1" spans="1:9">
      <c r="A7" s="9" t="s">
        <v>21</v>
      </c>
      <c r="B7" s="8" t="s">
        <v>22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23</v>
      </c>
      <c r="C8" s="12" t="s">
        <v>24</v>
      </c>
      <c r="D8" s="12" t="s">
        <v>25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26</v>
      </c>
      <c r="C9" s="12" t="s">
        <v>27</v>
      </c>
      <c r="D9" s="10" t="s">
        <v>28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29</v>
      </c>
      <c r="C10" s="4" t="s">
        <v>30</v>
      </c>
      <c r="D10" s="10" t="s">
        <v>28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31</v>
      </c>
      <c r="C11" s="17" t="s">
        <v>32</v>
      </c>
      <c r="D11" s="10" t="s">
        <v>28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301</v>
      </c>
      <c r="C12" s="4" t="s">
        <v>1057</v>
      </c>
      <c r="D12" s="10" t="s">
        <v>28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833</v>
      </c>
      <c r="C13" s="10" t="s">
        <v>834</v>
      </c>
      <c r="D13" s="10" t="s">
        <v>28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33</v>
      </c>
      <c r="C14" s="12" t="s">
        <v>835</v>
      </c>
      <c r="D14" s="15" t="s">
        <v>38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36</v>
      </c>
      <c r="C15" s="4" t="s">
        <v>37</v>
      </c>
      <c r="D15" s="10" t="s">
        <v>41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39</v>
      </c>
      <c r="C16" s="4" t="s">
        <v>547</v>
      </c>
      <c r="D16" s="15" t="s">
        <v>189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42</v>
      </c>
      <c r="C17" s="17" t="s">
        <v>51</v>
      </c>
      <c r="D17" s="15" t="s">
        <v>46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44</v>
      </c>
      <c r="C18" s="4" t="s">
        <v>45</v>
      </c>
      <c r="D18" s="10" t="s">
        <v>52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47</v>
      </c>
      <c r="C19" s="4" t="s">
        <v>836</v>
      </c>
      <c r="D19" s="10" t="s">
        <v>55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50</v>
      </c>
      <c r="C20" s="12" t="s">
        <v>60</v>
      </c>
      <c r="D20" s="15" t="s">
        <v>502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53</v>
      </c>
      <c r="C21" s="4" t="s">
        <v>1058</v>
      </c>
      <c r="D21" s="15" t="s">
        <v>58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64</v>
      </c>
      <c r="C22" s="12" t="s">
        <v>176</v>
      </c>
      <c r="D22" s="15" t="s">
        <v>69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67</v>
      </c>
      <c r="C23" s="17" t="s">
        <v>1059</v>
      </c>
      <c r="D23" s="10" t="s">
        <v>504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70</v>
      </c>
      <c r="C24" s="17" t="s">
        <v>71</v>
      </c>
      <c r="D24" s="15" t="s">
        <v>504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72</v>
      </c>
      <c r="C25" s="17" t="s">
        <v>73</v>
      </c>
      <c r="D25" s="10" t="s">
        <v>80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485</v>
      </c>
      <c r="C26" s="4" t="s">
        <v>94</v>
      </c>
      <c r="D26" s="10" t="s">
        <v>88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78</v>
      </c>
      <c r="C27" s="12" t="s">
        <v>94</v>
      </c>
      <c r="D27" s="15" t="s">
        <v>88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81</v>
      </c>
      <c r="C28" s="17" t="s">
        <v>68</v>
      </c>
      <c r="D28" s="10" t="s">
        <v>88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83</v>
      </c>
      <c r="C29" s="12" t="s">
        <v>84</v>
      </c>
      <c r="D29" s="15" t="s">
        <v>99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86</v>
      </c>
      <c r="C30" s="4" t="s">
        <v>87</v>
      </c>
      <c r="D30" s="10" t="s">
        <v>344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89</v>
      </c>
      <c r="C31" s="4" t="s">
        <v>87</v>
      </c>
      <c r="D31" s="10" t="s">
        <v>344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91</v>
      </c>
      <c r="C32" s="17" t="s">
        <v>550</v>
      </c>
      <c r="D32" s="15" t="s">
        <v>88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95</v>
      </c>
      <c r="C33" s="4" t="s">
        <v>551</v>
      </c>
      <c r="D33" s="10" t="s">
        <v>108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103</v>
      </c>
      <c r="C34" s="12" t="s">
        <v>104</v>
      </c>
      <c r="D34" s="15" t="s">
        <v>111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120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46087.3333333334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121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122</v>
      </c>
      <c r="C38" s="4" t="s">
        <v>123</v>
      </c>
      <c r="D38" s="10" t="s">
        <v>124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127</v>
      </c>
      <c r="C39" s="4" t="s">
        <v>1060</v>
      </c>
      <c r="D39" s="10" t="s">
        <v>80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129</v>
      </c>
      <c r="C40" s="12" t="s">
        <v>1061</v>
      </c>
      <c r="D40" s="15" t="s">
        <v>74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137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837</v>
      </c>
      <c r="C44" s="4" t="s">
        <v>838</v>
      </c>
      <c r="D44" s="10" t="s">
        <v>124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839</v>
      </c>
      <c r="C45" s="4" t="s">
        <v>43</v>
      </c>
      <c r="D45" s="10" t="s">
        <v>38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138</v>
      </c>
      <c r="C46" s="4" t="s">
        <v>552</v>
      </c>
      <c r="D46" s="10" t="s">
        <v>207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141</v>
      </c>
      <c r="C47" s="4" t="s">
        <v>142</v>
      </c>
      <c r="D47" s="10" t="s">
        <v>38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143</v>
      </c>
      <c r="C48" s="4" t="s">
        <v>142</v>
      </c>
      <c r="D48" s="10" t="s">
        <v>38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144</v>
      </c>
      <c r="C49" s="4" t="s">
        <v>142</v>
      </c>
      <c r="D49" s="10" t="s">
        <v>41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145</v>
      </c>
      <c r="C50" s="4" t="s">
        <v>51</v>
      </c>
      <c r="D50" s="16" t="s">
        <v>46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149</v>
      </c>
      <c r="C51" s="4" t="s">
        <v>150</v>
      </c>
      <c r="D51" s="10" t="s">
        <v>74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153</v>
      </c>
      <c r="C52" s="4" t="s">
        <v>150</v>
      </c>
      <c r="D52" s="10" t="s">
        <v>99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840</v>
      </c>
      <c r="C53" s="4" t="s">
        <v>150</v>
      </c>
      <c r="D53" s="10" t="s">
        <v>99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154</v>
      </c>
      <c r="C54" s="4" t="s">
        <v>150</v>
      </c>
      <c r="D54" s="10" t="s">
        <v>99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120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156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841</v>
      </c>
      <c r="C58" s="12" t="s">
        <v>158</v>
      </c>
      <c r="D58" s="15" t="s">
        <v>124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159</v>
      </c>
      <c r="C59" s="12" t="s">
        <v>160</v>
      </c>
      <c r="D59" s="15" t="s">
        <v>161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120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162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842</v>
      </c>
      <c r="C63" s="17" t="s">
        <v>843</v>
      </c>
      <c r="D63" s="10" t="s">
        <v>124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844</v>
      </c>
      <c r="C64" s="17" t="s">
        <v>845</v>
      </c>
      <c r="D64" s="15" t="s">
        <v>49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165</v>
      </c>
      <c r="C65" s="4" t="s">
        <v>51</v>
      </c>
      <c r="D65" s="10" t="s">
        <v>52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846</v>
      </c>
      <c r="C66" s="17" t="s">
        <v>167</v>
      </c>
      <c r="D66" s="15" t="s">
        <v>502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847</v>
      </c>
      <c r="C67" s="17" t="s">
        <v>51</v>
      </c>
      <c r="D67" s="15" t="s">
        <v>189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169</v>
      </c>
      <c r="C68" s="4" t="s">
        <v>150</v>
      </c>
      <c r="D68" s="10" t="s">
        <v>131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171</v>
      </c>
      <c r="C69" s="17" t="s">
        <v>71</v>
      </c>
      <c r="D69" s="10" t="s">
        <v>131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172</v>
      </c>
      <c r="C70" s="17" t="s">
        <v>71</v>
      </c>
      <c r="D70" s="10" t="s">
        <v>131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173</v>
      </c>
      <c r="C71" s="4" t="s">
        <v>553</v>
      </c>
      <c r="D71" s="10" t="s">
        <v>69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177</v>
      </c>
      <c r="C72" s="4" t="s">
        <v>150</v>
      </c>
      <c r="D72" s="10" t="s">
        <v>74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120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180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181</v>
      </c>
      <c r="C76" s="4" t="s">
        <v>182</v>
      </c>
      <c r="D76" s="10" t="s">
        <v>124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848</v>
      </c>
      <c r="C77" s="4" t="s">
        <v>849</v>
      </c>
      <c r="D77" s="15" t="s">
        <v>850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183</v>
      </c>
      <c r="C78" s="12" t="s">
        <v>851</v>
      </c>
      <c r="D78" s="10" t="s">
        <v>161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187</v>
      </c>
      <c r="C79" s="4" t="s">
        <v>188</v>
      </c>
      <c r="D79" s="15" t="s">
        <v>212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194</v>
      </c>
      <c r="C80" s="4" t="s">
        <v>179</v>
      </c>
      <c r="D80" s="10" t="s">
        <v>77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198</v>
      </c>
      <c r="C81" s="4" t="s">
        <v>179</v>
      </c>
      <c r="D81" s="10" t="s">
        <v>99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200</v>
      </c>
      <c r="C82" s="4" t="s">
        <v>201</v>
      </c>
      <c r="D82" s="10" t="s">
        <v>111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120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202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205</v>
      </c>
      <c r="C86" s="4" t="s">
        <v>142</v>
      </c>
      <c r="D86" s="10" t="s">
        <v>38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203</v>
      </c>
      <c r="C87" s="4" t="s">
        <v>142</v>
      </c>
      <c r="D87" s="10" t="s">
        <v>38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208</v>
      </c>
      <c r="C88" s="4" t="s">
        <v>142</v>
      </c>
      <c r="D88" s="10" t="s">
        <v>41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209</v>
      </c>
      <c r="C89" s="4" t="s">
        <v>852</v>
      </c>
      <c r="D89" s="15" t="s">
        <v>55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210</v>
      </c>
      <c r="C90" s="12" t="s">
        <v>167</v>
      </c>
      <c r="D90" s="15" t="s">
        <v>502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211</v>
      </c>
      <c r="C91" s="12" t="s">
        <v>51</v>
      </c>
      <c r="D91" s="15" t="s">
        <v>501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213</v>
      </c>
      <c r="C92" s="17" t="s">
        <v>71</v>
      </c>
      <c r="D92" s="15" t="s">
        <v>131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214</v>
      </c>
      <c r="C93" s="17" t="s">
        <v>167</v>
      </c>
      <c r="D93" s="15" t="s">
        <v>66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217</v>
      </c>
      <c r="C94" s="4" t="s">
        <v>218</v>
      </c>
      <c r="D94" s="10" t="s">
        <v>74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221</v>
      </c>
      <c r="C95" s="17" t="s">
        <v>222</v>
      </c>
      <c r="D95" s="15" t="s">
        <v>108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120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224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225</v>
      </c>
      <c r="C99" s="4" t="s">
        <v>554</v>
      </c>
      <c r="D99" s="16" t="s">
        <v>35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227</v>
      </c>
      <c r="C100" s="4" t="s">
        <v>228</v>
      </c>
      <c r="D100" s="15" t="s">
        <v>212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233</v>
      </c>
      <c r="C101" s="4" t="s">
        <v>555</v>
      </c>
      <c r="D101" s="15" t="s">
        <v>69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234</v>
      </c>
      <c r="C102" s="4" t="s">
        <v>197</v>
      </c>
      <c r="D102" s="15" t="s">
        <v>74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120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237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556</v>
      </c>
      <c r="C106" s="12" t="s">
        <v>239</v>
      </c>
      <c r="D106" s="15" t="s">
        <v>124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240</v>
      </c>
      <c r="C107" s="4" t="s">
        <v>241</v>
      </c>
      <c r="D107" s="16" t="s">
        <v>35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242</v>
      </c>
      <c r="C108" s="4" t="s">
        <v>557</v>
      </c>
      <c r="D108" s="10" t="s">
        <v>55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244</v>
      </c>
      <c r="C109" s="4" t="s">
        <v>557</v>
      </c>
      <c r="D109" s="10" t="s">
        <v>55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247</v>
      </c>
      <c r="C110" s="4" t="s">
        <v>248</v>
      </c>
      <c r="D110" s="15" t="s">
        <v>853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250</v>
      </c>
      <c r="C111" s="4" t="s">
        <v>248</v>
      </c>
      <c r="D111" s="10" t="s">
        <v>223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251</v>
      </c>
      <c r="C112" s="4" t="s">
        <v>248</v>
      </c>
      <c r="D112" s="15" t="s">
        <v>108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120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255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163</v>
      </c>
      <c r="C116" s="4" t="s">
        <v>142</v>
      </c>
      <c r="D116" s="10" t="s">
        <v>49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257</v>
      </c>
      <c r="C117" s="4" t="s">
        <v>258</v>
      </c>
      <c r="D117" s="15" t="s">
        <v>69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190</v>
      </c>
      <c r="C118" s="12" t="s">
        <v>854</v>
      </c>
      <c r="D118" s="15" t="s">
        <v>170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120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279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280</v>
      </c>
      <c r="C122" s="12" t="s">
        <v>281</v>
      </c>
      <c r="D122" s="15" t="s">
        <v>124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282</v>
      </c>
      <c r="C123" s="12" t="s">
        <v>558</v>
      </c>
      <c r="D123" s="15" t="s">
        <v>207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284</v>
      </c>
      <c r="C124" s="12" t="s">
        <v>559</v>
      </c>
      <c r="D124" s="15" t="s">
        <v>38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855</v>
      </c>
      <c r="C125" s="12" t="s">
        <v>559</v>
      </c>
      <c r="D125" s="15" t="s">
        <v>41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287</v>
      </c>
      <c r="C126" s="12" t="s">
        <v>289</v>
      </c>
      <c r="D126" s="15" t="s">
        <v>46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288</v>
      </c>
      <c r="C127" s="12" t="s">
        <v>560</v>
      </c>
      <c r="D127" s="15" t="s">
        <v>52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290</v>
      </c>
      <c r="C128" s="12" t="s">
        <v>289</v>
      </c>
      <c r="D128" s="15" t="s">
        <v>212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293</v>
      </c>
      <c r="C129" s="12" t="s">
        <v>561</v>
      </c>
      <c r="D129" s="10" t="s">
        <v>88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295</v>
      </c>
      <c r="C130" s="12" t="s">
        <v>296</v>
      </c>
      <c r="D130" s="15" t="s">
        <v>111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297</v>
      </c>
      <c r="C131" s="12" t="s">
        <v>292</v>
      </c>
      <c r="D131" s="15" t="s">
        <v>111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120</v>
      </c>
      <c r="C132" s="26" t="s">
        <v>562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300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856</v>
      </c>
      <c r="C135" s="12" t="s">
        <v>857</v>
      </c>
      <c r="D135" s="15" t="s">
        <v>124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858</v>
      </c>
      <c r="C136" s="12" t="s">
        <v>859</v>
      </c>
      <c r="D136" s="15" t="s">
        <v>35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304</v>
      </c>
      <c r="C137" s="4" t="s">
        <v>305</v>
      </c>
      <c r="D137" s="16" t="s">
        <v>35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306</v>
      </c>
      <c r="C138" s="12" t="s">
        <v>860</v>
      </c>
      <c r="D138" s="15" t="s">
        <v>189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308</v>
      </c>
      <c r="C139" s="4" t="s">
        <v>312</v>
      </c>
      <c r="D139" s="15" t="s">
        <v>189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310</v>
      </c>
      <c r="C140" s="4" t="s">
        <v>312</v>
      </c>
      <c r="D140" s="15" t="s">
        <v>189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229</v>
      </c>
      <c r="C141" s="12" t="s">
        <v>861</v>
      </c>
      <c r="D141" s="15" t="s">
        <v>170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313</v>
      </c>
      <c r="C142" s="12" t="s">
        <v>861</v>
      </c>
      <c r="D142" s="15" t="s">
        <v>170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314</v>
      </c>
      <c r="C143" s="4" t="s">
        <v>862</v>
      </c>
      <c r="D143" s="15" t="s">
        <v>170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316</v>
      </c>
      <c r="C144" s="12" t="s">
        <v>564</v>
      </c>
      <c r="D144" s="15" t="s">
        <v>69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318</v>
      </c>
      <c r="C145" s="12" t="s">
        <v>319</v>
      </c>
      <c r="D145" s="15" t="s">
        <v>131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61</v>
      </c>
      <c r="C146" s="12" t="s">
        <v>863</v>
      </c>
      <c r="D146" s="15" t="s">
        <v>170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320</v>
      </c>
      <c r="C147" s="4" t="s">
        <v>321</v>
      </c>
      <c r="D147" s="15" t="s">
        <v>504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322</v>
      </c>
      <c r="C148" s="4" t="s">
        <v>864</v>
      </c>
      <c r="D148" s="15" t="s">
        <v>77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323</v>
      </c>
      <c r="C149" s="4" t="s">
        <v>864</v>
      </c>
      <c r="D149" s="15" t="s">
        <v>151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325</v>
      </c>
      <c r="C150" s="4" t="s">
        <v>864</v>
      </c>
      <c r="D150" s="15" t="s">
        <v>151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326</v>
      </c>
      <c r="C151" s="12" t="s">
        <v>327</v>
      </c>
      <c r="D151" s="15" t="s">
        <v>74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328</v>
      </c>
      <c r="C152" s="12" t="s">
        <v>329</v>
      </c>
      <c r="D152" s="10" t="s">
        <v>99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330</v>
      </c>
      <c r="C153" s="12" t="s">
        <v>565</v>
      </c>
      <c r="D153" s="15" t="s">
        <v>77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332</v>
      </c>
      <c r="C154" s="12" t="s">
        <v>566</v>
      </c>
      <c r="D154" s="15" t="s">
        <v>88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334</v>
      </c>
      <c r="C155" s="12" t="s">
        <v>567</v>
      </c>
      <c r="D155" s="15" t="s">
        <v>77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335</v>
      </c>
      <c r="C156" s="12" t="s">
        <v>568</v>
      </c>
      <c r="D156" s="15" t="s">
        <v>88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337</v>
      </c>
      <c r="C157" s="12" t="s">
        <v>338</v>
      </c>
      <c r="D157" s="15" t="s">
        <v>344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345</v>
      </c>
      <c r="C158" s="12" t="s">
        <v>346</v>
      </c>
      <c r="D158" s="15" t="s">
        <v>111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347</v>
      </c>
      <c r="C159" s="12" t="s">
        <v>348</v>
      </c>
      <c r="D159" s="15" t="s">
        <v>111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349</v>
      </c>
      <c r="C160" s="12" t="s">
        <v>350</v>
      </c>
      <c r="D160" s="15" t="s">
        <v>111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351</v>
      </c>
      <c r="C161" s="12" t="s">
        <v>569</v>
      </c>
      <c r="D161" s="15" t="s">
        <v>108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352</v>
      </c>
      <c r="C162" s="12" t="s">
        <v>348</v>
      </c>
      <c r="D162" s="15" t="s">
        <v>111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361</v>
      </c>
      <c r="C163" s="12" t="s">
        <v>362</v>
      </c>
      <c r="D163" s="15" t="s">
        <v>388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364</v>
      </c>
      <c r="C164" s="12" t="s">
        <v>362</v>
      </c>
      <c r="D164" s="15" t="s">
        <v>388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570</v>
      </c>
      <c r="C165" s="12" t="s">
        <v>362</v>
      </c>
      <c r="D165" s="15" t="s">
        <v>388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365</v>
      </c>
      <c r="C166" s="12" t="s">
        <v>362</v>
      </c>
      <c r="D166" s="15" t="s">
        <v>388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366</v>
      </c>
      <c r="C167" s="12" t="s">
        <v>362</v>
      </c>
      <c r="D167" s="15" t="s">
        <v>388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367</v>
      </c>
      <c r="C168" s="12" t="s">
        <v>362</v>
      </c>
      <c r="D168" s="15" t="s">
        <v>381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369</v>
      </c>
      <c r="C169" s="12" t="s">
        <v>362</v>
      </c>
      <c r="D169" s="15" t="s">
        <v>381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370</v>
      </c>
      <c r="C170" s="12" t="s">
        <v>362</v>
      </c>
      <c r="D170" s="15" t="s">
        <v>381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371</v>
      </c>
      <c r="C171" s="12" t="s">
        <v>362</v>
      </c>
      <c r="D171" s="15" t="s">
        <v>381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372</v>
      </c>
      <c r="C172" s="12" t="s">
        <v>362</v>
      </c>
      <c r="D172" s="15" t="s">
        <v>381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359</v>
      </c>
      <c r="C173" s="12" t="s">
        <v>362</v>
      </c>
      <c r="D173" s="15" t="s">
        <v>381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373</v>
      </c>
      <c r="C174" s="12" t="s">
        <v>374</v>
      </c>
      <c r="D174" s="15" t="s">
        <v>511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376</v>
      </c>
      <c r="C175" s="12" t="s">
        <v>374</v>
      </c>
      <c r="D175" s="15" t="s">
        <v>511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377</v>
      </c>
      <c r="C176" s="12" t="s">
        <v>374</v>
      </c>
      <c r="D176" s="15" t="s">
        <v>510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379</v>
      </c>
      <c r="C177" s="12" t="s">
        <v>393</v>
      </c>
      <c r="D177" s="15" t="s">
        <v>512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382</v>
      </c>
      <c r="C178" s="12" t="s">
        <v>390</v>
      </c>
      <c r="D178" s="15" t="s">
        <v>573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383</v>
      </c>
      <c r="C179" s="12" t="s">
        <v>390</v>
      </c>
      <c r="D179" s="15" t="s">
        <v>573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384</v>
      </c>
      <c r="C180" s="12" t="s">
        <v>390</v>
      </c>
      <c r="D180" s="15" t="s">
        <v>573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385</v>
      </c>
      <c r="C181" s="12" t="s">
        <v>390</v>
      </c>
      <c r="D181" s="15" t="s">
        <v>573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386</v>
      </c>
      <c r="C182" s="12" t="s">
        <v>390</v>
      </c>
      <c r="D182" s="15" t="s">
        <v>573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387</v>
      </c>
      <c r="C183" s="12" t="s">
        <v>390</v>
      </c>
      <c r="D183" s="15" t="s">
        <v>573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389</v>
      </c>
      <c r="C184" s="12" t="s">
        <v>390</v>
      </c>
      <c r="D184" s="15" t="s">
        <v>573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572</v>
      </c>
      <c r="C185" s="12" t="s">
        <v>393</v>
      </c>
      <c r="D185" s="15" t="s">
        <v>573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392</v>
      </c>
      <c r="C186" s="12" t="s">
        <v>393</v>
      </c>
      <c r="D186" s="15" t="s">
        <v>573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360</v>
      </c>
      <c r="C187" s="12" t="s">
        <v>395</v>
      </c>
      <c r="D187" s="15" t="s">
        <v>396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397</v>
      </c>
      <c r="C188" s="12" t="s">
        <v>390</v>
      </c>
      <c r="D188" s="15" t="s">
        <v>403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401</v>
      </c>
      <c r="C189" s="12" t="s">
        <v>402</v>
      </c>
      <c r="D189" s="15" t="s">
        <v>865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404</v>
      </c>
      <c r="C190" s="12" t="s">
        <v>402</v>
      </c>
      <c r="D190" s="15" t="s">
        <v>865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405</v>
      </c>
      <c r="C191" s="12" t="s">
        <v>402</v>
      </c>
      <c r="D191" s="15" t="s">
        <v>865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406</v>
      </c>
      <c r="C192" s="12" t="s">
        <v>407</v>
      </c>
      <c r="D192" s="15" t="s">
        <v>398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409</v>
      </c>
      <c r="C193" s="12" t="s">
        <v>407</v>
      </c>
      <c r="D193" s="15" t="s">
        <v>398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120</v>
      </c>
      <c r="C194" s="28" t="s">
        <v>866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411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1062</v>
      </c>
      <c r="E1" s="610" t="s">
        <v>15</v>
      </c>
      <c r="F1" s="611"/>
      <c r="G1" s="611"/>
    </row>
    <row r="2" ht="36" customHeight="1" spans="1:7">
      <c r="A2" s="18" t="s">
        <v>103</v>
      </c>
      <c r="B2" s="12" t="s">
        <v>104</v>
      </c>
      <c r="C2" s="612" t="s">
        <v>276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103</v>
      </c>
      <c r="B3" s="12" t="s">
        <v>104</v>
      </c>
      <c r="C3" s="612" t="s">
        <v>111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4" t="s">
        <v>808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1063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597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82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85">
        <v>540000</v>
      </c>
    </row>
    <row r="8" customHeight="1" spans="1:5">
      <c r="A8" s="10">
        <v>2</v>
      </c>
      <c r="B8" s="11" t="s">
        <v>26</v>
      </c>
      <c r="C8" s="12" t="s">
        <v>27</v>
      </c>
      <c r="D8" s="10" t="s">
        <v>28</v>
      </c>
      <c r="E8" s="85">
        <v>180000</v>
      </c>
    </row>
    <row r="9" customHeight="1" spans="1:5">
      <c r="A9" s="10">
        <v>3</v>
      </c>
      <c r="B9" s="14" t="s">
        <v>29</v>
      </c>
      <c r="C9" s="4" t="s">
        <v>30</v>
      </c>
      <c r="D9" s="10" t="s">
        <v>28</v>
      </c>
      <c r="E9" s="85">
        <v>180000</v>
      </c>
    </row>
    <row r="10" customHeight="1" spans="1:5">
      <c r="A10" s="10">
        <v>4</v>
      </c>
      <c r="B10" s="11" t="s">
        <v>31</v>
      </c>
      <c r="C10" s="17" t="s">
        <v>32</v>
      </c>
      <c r="D10" s="10" t="s">
        <v>28</v>
      </c>
      <c r="E10" s="85">
        <v>180000</v>
      </c>
    </row>
    <row r="11" customHeight="1" spans="1:5">
      <c r="A11" s="10">
        <v>5</v>
      </c>
      <c r="B11" s="14" t="s">
        <v>301</v>
      </c>
      <c r="C11" s="4" t="s">
        <v>832</v>
      </c>
      <c r="D11" s="10" t="s">
        <v>28</v>
      </c>
      <c r="E11" s="85">
        <v>180000</v>
      </c>
    </row>
    <row r="12" customHeight="1" spans="1:5">
      <c r="A12" s="10">
        <v>6</v>
      </c>
      <c r="B12" s="18" t="s">
        <v>833</v>
      </c>
      <c r="C12" s="10" t="s">
        <v>834</v>
      </c>
      <c r="D12" s="10" t="s">
        <v>28</v>
      </c>
      <c r="E12" s="85">
        <v>180000</v>
      </c>
    </row>
    <row r="13" customHeight="1" spans="1:5">
      <c r="A13" s="10">
        <v>7</v>
      </c>
      <c r="B13" s="11" t="s">
        <v>33</v>
      </c>
      <c r="C13" s="12" t="s">
        <v>835</v>
      </c>
      <c r="D13" s="15" t="s">
        <v>38</v>
      </c>
      <c r="E13" s="85">
        <v>126000</v>
      </c>
    </row>
    <row r="14" customHeight="1" spans="1:5">
      <c r="A14" s="10">
        <v>8</v>
      </c>
      <c r="B14" s="11" t="s">
        <v>36</v>
      </c>
      <c r="C14" s="4" t="s">
        <v>37</v>
      </c>
      <c r="D14" s="10" t="s">
        <v>41</v>
      </c>
      <c r="E14" s="85">
        <v>126000</v>
      </c>
    </row>
    <row r="15" customHeight="1" spans="1:5">
      <c r="A15" s="10">
        <v>9</v>
      </c>
      <c r="B15" s="11" t="s">
        <v>39</v>
      </c>
      <c r="C15" s="4" t="s">
        <v>547</v>
      </c>
      <c r="D15" s="15" t="s">
        <v>189</v>
      </c>
      <c r="E15" s="85">
        <v>90000</v>
      </c>
    </row>
    <row r="16" customHeight="1" spans="1:5">
      <c r="A16" s="10">
        <v>10</v>
      </c>
      <c r="B16" s="14" t="s">
        <v>42</v>
      </c>
      <c r="C16" s="17" t="s">
        <v>51</v>
      </c>
      <c r="D16" s="15" t="s">
        <v>46</v>
      </c>
      <c r="E16" s="85">
        <v>90000</v>
      </c>
    </row>
    <row r="17" customHeight="1" spans="1:5">
      <c r="A17" s="10">
        <v>11</v>
      </c>
      <c r="B17" s="11" t="s">
        <v>44</v>
      </c>
      <c r="C17" s="4" t="s">
        <v>45</v>
      </c>
      <c r="D17" s="10" t="s">
        <v>52</v>
      </c>
      <c r="E17" s="85">
        <v>90000</v>
      </c>
    </row>
    <row r="18" customHeight="1" spans="1:5">
      <c r="A18" s="10">
        <v>12</v>
      </c>
      <c r="B18" s="11" t="s">
        <v>47</v>
      </c>
      <c r="C18" s="4" t="s">
        <v>836</v>
      </c>
      <c r="D18" s="10" t="s">
        <v>55</v>
      </c>
      <c r="E18" s="85">
        <v>90000</v>
      </c>
    </row>
    <row r="19" customHeight="1" spans="1:5">
      <c r="A19" s="10">
        <v>13</v>
      </c>
      <c r="B19" s="11" t="s">
        <v>50</v>
      </c>
      <c r="C19" s="12" t="s">
        <v>60</v>
      </c>
      <c r="D19" s="15" t="s">
        <v>502</v>
      </c>
      <c r="E19" s="85">
        <v>90000</v>
      </c>
    </row>
    <row r="20" customHeight="1" spans="1:5">
      <c r="A20" s="10">
        <v>14</v>
      </c>
      <c r="B20" s="18" t="s">
        <v>53</v>
      </c>
      <c r="C20" s="4" t="s">
        <v>54</v>
      </c>
      <c r="D20" s="15" t="s">
        <v>58</v>
      </c>
      <c r="E20" s="85">
        <v>90000</v>
      </c>
    </row>
    <row r="21" ht="18.75" customHeight="1" spans="1:5">
      <c r="A21" s="10">
        <v>15</v>
      </c>
      <c r="B21" s="11" t="s">
        <v>64</v>
      </c>
      <c r="C21" s="12" t="s">
        <v>176</v>
      </c>
      <c r="D21" s="15" t="s">
        <v>69</v>
      </c>
      <c r="E21" s="85">
        <v>68000</v>
      </c>
    </row>
    <row r="22" customHeight="1" spans="1:5">
      <c r="A22" s="10">
        <v>16</v>
      </c>
      <c r="B22" s="14" t="s">
        <v>67</v>
      </c>
      <c r="C22" s="17" t="s">
        <v>68</v>
      </c>
      <c r="D22" s="10" t="s">
        <v>504</v>
      </c>
      <c r="E22" s="85">
        <v>68000</v>
      </c>
    </row>
    <row r="23" ht="21.6" customHeight="1" spans="1:5">
      <c r="A23" s="10">
        <v>17</v>
      </c>
      <c r="B23" s="11" t="s">
        <v>70</v>
      </c>
      <c r="C23" s="17" t="s">
        <v>71</v>
      </c>
      <c r="D23" s="15" t="s">
        <v>504</v>
      </c>
      <c r="E23" s="85">
        <v>68000</v>
      </c>
    </row>
    <row r="24" customHeight="1" spans="1:5">
      <c r="A24" s="10">
        <v>18</v>
      </c>
      <c r="B24" s="14" t="s">
        <v>72</v>
      </c>
      <c r="C24" s="17" t="s">
        <v>73</v>
      </c>
      <c r="D24" s="10" t="s">
        <v>80</v>
      </c>
      <c r="E24" s="85">
        <v>68000</v>
      </c>
    </row>
    <row r="25" ht="18.75" customHeight="1" spans="1:5">
      <c r="A25" s="10">
        <v>19</v>
      </c>
      <c r="B25" s="4" t="s">
        <v>485</v>
      </c>
      <c r="C25" s="4" t="s">
        <v>94</v>
      </c>
      <c r="D25" s="10" t="s">
        <v>88</v>
      </c>
      <c r="E25" s="85">
        <v>54000</v>
      </c>
    </row>
    <row r="26" ht="18.75" customHeight="1" spans="1:5">
      <c r="A26" s="10">
        <v>20</v>
      </c>
      <c r="B26" s="18" t="s">
        <v>78</v>
      </c>
      <c r="C26" s="12" t="s">
        <v>94</v>
      </c>
      <c r="D26" s="15" t="s">
        <v>88</v>
      </c>
      <c r="E26" s="85">
        <v>54000</v>
      </c>
    </row>
    <row r="27" customHeight="1" spans="1:5">
      <c r="A27" s="10">
        <v>21</v>
      </c>
      <c r="B27" s="11" t="s">
        <v>81</v>
      </c>
      <c r="C27" s="17" t="s">
        <v>68</v>
      </c>
      <c r="D27" s="10" t="s">
        <v>88</v>
      </c>
      <c r="E27" s="85">
        <v>54000</v>
      </c>
    </row>
    <row r="28" ht="18.75" customHeight="1" spans="1:5">
      <c r="A28" s="10">
        <v>22</v>
      </c>
      <c r="B28" s="18" t="s">
        <v>83</v>
      </c>
      <c r="C28" s="12" t="s">
        <v>84</v>
      </c>
      <c r="D28" s="15" t="s">
        <v>99</v>
      </c>
      <c r="E28" s="85">
        <v>54000</v>
      </c>
    </row>
    <row r="29" ht="18.75" customHeight="1" spans="1:5">
      <c r="A29" s="10">
        <v>23</v>
      </c>
      <c r="B29" s="18" t="s">
        <v>86</v>
      </c>
      <c r="C29" s="4" t="s">
        <v>87</v>
      </c>
      <c r="D29" s="10" t="s">
        <v>344</v>
      </c>
      <c r="E29" s="85">
        <v>54000</v>
      </c>
    </row>
    <row r="30" ht="18.75" customHeight="1" spans="1:5">
      <c r="A30" s="10">
        <v>24</v>
      </c>
      <c r="B30" s="18" t="s">
        <v>89</v>
      </c>
      <c r="C30" s="4" t="s">
        <v>87</v>
      </c>
      <c r="D30" s="10" t="s">
        <v>344</v>
      </c>
      <c r="E30" s="85">
        <v>54000</v>
      </c>
    </row>
    <row r="31" ht="18.75" customHeight="1" spans="1:5">
      <c r="A31" s="10">
        <v>25</v>
      </c>
      <c r="B31" s="18" t="s">
        <v>91</v>
      </c>
      <c r="C31" s="17" t="s">
        <v>550</v>
      </c>
      <c r="D31" s="15" t="s">
        <v>88</v>
      </c>
      <c r="E31" s="85">
        <v>54000</v>
      </c>
    </row>
    <row r="32" ht="18.75" customHeight="1" spans="1:5">
      <c r="A32" s="10">
        <v>26</v>
      </c>
      <c r="B32" s="18" t="s">
        <v>95</v>
      </c>
      <c r="C32" s="4" t="s">
        <v>551</v>
      </c>
      <c r="D32" s="10" t="s">
        <v>108</v>
      </c>
      <c r="E32" s="85">
        <v>54000</v>
      </c>
    </row>
    <row r="33" ht="18.75" customHeight="1" spans="1:5">
      <c r="A33" s="10">
        <v>27</v>
      </c>
      <c r="B33" s="18" t="s">
        <v>103</v>
      </c>
      <c r="C33" s="12" t="s">
        <v>104</v>
      </c>
      <c r="D33" s="15" t="s">
        <v>111</v>
      </c>
      <c r="E33" s="85">
        <v>54000</v>
      </c>
    </row>
    <row r="34" ht="26.25" customHeight="1" spans="1:5">
      <c r="A34" s="10"/>
      <c r="B34" s="20" t="s">
        <v>120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121</v>
      </c>
      <c r="C36" s="4"/>
      <c r="D36" s="15"/>
      <c r="E36" s="85"/>
    </row>
    <row r="37" ht="18.75" customHeight="1" spans="1:5">
      <c r="A37" s="10">
        <v>1</v>
      </c>
      <c r="B37" s="18" t="s">
        <v>122</v>
      </c>
      <c r="C37" s="4" t="s">
        <v>123</v>
      </c>
      <c r="D37" s="10" t="s">
        <v>124</v>
      </c>
      <c r="E37" s="85">
        <v>270000</v>
      </c>
    </row>
    <row r="38" ht="18.75" customHeight="1" spans="1:5">
      <c r="A38" s="10">
        <v>2</v>
      </c>
      <c r="B38" s="18" t="s">
        <v>127</v>
      </c>
      <c r="C38" s="4" t="s">
        <v>1064</v>
      </c>
      <c r="D38" s="10" t="s">
        <v>80</v>
      </c>
      <c r="E38" s="85">
        <v>68000</v>
      </c>
    </row>
    <row r="39" ht="18.75" customHeight="1" spans="1:5">
      <c r="A39" s="10">
        <v>3</v>
      </c>
      <c r="B39" s="11" t="s">
        <v>129</v>
      </c>
      <c r="C39" s="12" t="s">
        <v>1061</v>
      </c>
      <c r="D39" s="15" t="s">
        <v>74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137</v>
      </c>
      <c r="C42" s="5"/>
      <c r="D42" s="24"/>
      <c r="E42" s="221"/>
    </row>
    <row r="43" customHeight="1" spans="1:5">
      <c r="A43" s="10">
        <v>1</v>
      </c>
      <c r="B43" s="11" t="s">
        <v>837</v>
      </c>
      <c r="C43" s="4" t="s">
        <v>838</v>
      </c>
      <c r="D43" s="10" t="s">
        <v>124</v>
      </c>
      <c r="E43" s="85">
        <v>270000</v>
      </c>
    </row>
    <row r="44" customHeight="1" spans="1:5">
      <c r="A44" s="10">
        <v>2</v>
      </c>
      <c r="B44" s="11" t="s">
        <v>839</v>
      </c>
      <c r="C44" s="4" t="s">
        <v>43</v>
      </c>
      <c r="D44" s="10" t="s">
        <v>38</v>
      </c>
      <c r="E44" s="85">
        <v>126000</v>
      </c>
    </row>
    <row r="45" customHeight="1" spans="1:5">
      <c r="A45" s="10">
        <v>3</v>
      </c>
      <c r="B45" s="11" t="s">
        <v>138</v>
      </c>
      <c r="C45" s="4" t="s">
        <v>552</v>
      </c>
      <c r="D45" s="10" t="s">
        <v>207</v>
      </c>
      <c r="E45" s="85">
        <v>180000</v>
      </c>
    </row>
    <row r="46" customHeight="1" spans="1:5">
      <c r="A46" s="10">
        <v>4</v>
      </c>
      <c r="B46" s="11" t="s">
        <v>141</v>
      </c>
      <c r="C46" s="4" t="s">
        <v>142</v>
      </c>
      <c r="D46" s="10" t="s">
        <v>38</v>
      </c>
      <c r="E46" s="85">
        <v>126000</v>
      </c>
    </row>
    <row r="47" customHeight="1" spans="1:5">
      <c r="A47" s="10">
        <v>5</v>
      </c>
      <c r="B47" s="11" t="s">
        <v>143</v>
      </c>
      <c r="C47" s="4" t="s">
        <v>142</v>
      </c>
      <c r="D47" s="10" t="s">
        <v>38</v>
      </c>
      <c r="E47" s="85">
        <v>126000</v>
      </c>
    </row>
    <row r="48" customHeight="1" spans="1:5">
      <c r="A48" s="10">
        <v>6</v>
      </c>
      <c r="B48" s="11" t="s">
        <v>144</v>
      </c>
      <c r="C48" s="4" t="s">
        <v>142</v>
      </c>
      <c r="D48" s="10" t="s">
        <v>41</v>
      </c>
      <c r="E48" s="85">
        <v>126000</v>
      </c>
    </row>
    <row r="49" customHeight="1" spans="1:5">
      <c r="A49" s="10">
        <v>7</v>
      </c>
      <c r="B49" s="14" t="s">
        <v>145</v>
      </c>
      <c r="C49" s="4" t="s">
        <v>51</v>
      </c>
      <c r="D49" s="16" t="s">
        <v>46</v>
      </c>
      <c r="E49" s="85">
        <v>90000</v>
      </c>
    </row>
    <row r="50" customHeight="1" spans="1:5">
      <c r="A50" s="10">
        <v>8</v>
      </c>
      <c r="B50" s="11" t="s">
        <v>149</v>
      </c>
      <c r="C50" s="4" t="s">
        <v>150</v>
      </c>
      <c r="D50" s="10" t="s">
        <v>74</v>
      </c>
      <c r="E50" s="85">
        <v>68000</v>
      </c>
    </row>
    <row r="51" customHeight="1" spans="1:5">
      <c r="A51" s="10">
        <v>9</v>
      </c>
      <c r="B51" s="11" t="s">
        <v>153</v>
      </c>
      <c r="C51" s="4" t="s">
        <v>150</v>
      </c>
      <c r="D51" s="10" t="s">
        <v>99</v>
      </c>
      <c r="E51" s="85">
        <v>54000</v>
      </c>
    </row>
    <row r="52" customHeight="1" spans="1:5">
      <c r="A52" s="10">
        <v>10</v>
      </c>
      <c r="B52" s="11" t="s">
        <v>840</v>
      </c>
      <c r="C52" s="4" t="s">
        <v>150</v>
      </c>
      <c r="D52" s="10" t="s">
        <v>99</v>
      </c>
      <c r="E52" s="85">
        <v>54000</v>
      </c>
    </row>
    <row r="53" customHeight="1" spans="1:5">
      <c r="A53" s="10">
        <v>11</v>
      </c>
      <c r="B53" s="11" t="s">
        <v>154</v>
      </c>
      <c r="C53" s="4" t="s">
        <v>150</v>
      </c>
      <c r="D53" s="10" t="s">
        <v>99</v>
      </c>
      <c r="E53" s="85">
        <v>54000</v>
      </c>
    </row>
    <row r="54" ht="25.5" customHeight="1" spans="1:5">
      <c r="A54" s="10"/>
      <c r="B54" s="20" t="s">
        <v>120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156</v>
      </c>
      <c r="C56" s="21"/>
      <c r="D56" s="21"/>
      <c r="E56" s="146"/>
    </row>
    <row r="57" customHeight="1" spans="1:5">
      <c r="A57" s="10">
        <v>1</v>
      </c>
      <c r="B57" s="11" t="s">
        <v>841</v>
      </c>
      <c r="C57" s="12" t="s">
        <v>158</v>
      </c>
      <c r="D57" s="15" t="s">
        <v>124</v>
      </c>
      <c r="E57" s="85">
        <v>270000</v>
      </c>
    </row>
    <row r="58" customHeight="1" spans="1:5">
      <c r="A58" s="10">
        <v>2</v>
      </c>
      <c r="B58" s="11" t="s">
        <v>159</v>
      </c>
      <c r="C58" s="12" t="s">
        <v>160</v>
      </c>
      <c r="D58" s="15" t="s">
        <v>161</v>
      </c>
      <c r="E58" s="85">
        <v>126000</v>
      </c>
    </row>
    <row r="59" customHeight="1" spans="1:5">
      <c r="A59" s="10"/>
      <c r="B59" s="20" t="s">
        <v>120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162</v>
      </c>
      <c r="C61" s="21"/>
      <c r="D61" s="21"/>
      <c r="E61" s="146"/>
    </row>
    <row r="62" customHeight="1" spans="1:5">
      <c r="A62" s="10">
        <v>1</v>
      </c>
      <c r="B62" s="11" t="s">
        <v>842</v>
      </c>
      <c r="C62" s="17" t="s">
        <v>843</v>
      </c>
      <c r="D62" s="10" t="s">
        <v>124</v>
      </c>
      <c r="E62" s="85">
        <v>270000</v>
      </c>
    </row>
    <row r="63" customHeight="1" spans="1:5">
      <c r="A63" s="10">
        <v>2</v>
      </c>
      <c r="B63" s="351" t="s">
        <v>844</v>
      </c>
      <c r="C63" s="17" t="s">
        <v>845</v>
      </c>
      <c r="D63" s="15" t="s">
        <v>49</v>
      </c>
      <c r="E63" s="85">
        <v>126000</v>
      </c>
    </row>
    <row r="64" customHeight="1" spans="1:5">
      <c r="A64" s="10">
        <v>3</v>
      </c>
      <c r="B64" s="11" t="s">
        <v>165</v>
      </c>
      <c r="C64" s="4" t="s">
        <v>51</v>
      </c>
      <c r="D64" s="10" t="s">
        <v>52</v>
      </c>
      <c r="E64" s="85">
        <v>90000</v>
      </c>
    </row>
    <row r="65" customHeight="1" spans="1:5">
      <c r="A65" s="10">
        <v>4</v>
      </c>
      <c r="B65" s="18" t="s">
        <v>846</v>
      </c>
      <c r="C65" s="17" t="s">
        <v>167</v>
      </c>
      <c r="D65" s="15" t="s">
        <v>502</v>
      </c>
      <c r="E65" s="85">
        <v>90000</v>
      </c>
    </row>
    <row r="66" customHeight="1" spans="1:5">
      <c r="A66" s="10">
        <v>5</v>
      </c>
      <c r="B66" s="14" t="s">
        <v>847</v>
      </c>
      <c r="C66" s="17" t="s">
        <v>51</v>
      </c>
      <c r="D66" s="15" t="s">
        <v>189</v>
      </c>
      <c r="E66" s="85">
        <v>90000</v>
      </c>
    </row>
    <row r="67" customHeight="1" spans="1:5">
      <c r="A67" s="10">
        <v>7</v>
      </c>
      <c r="B67" s="11" t="s">
        <v>169</v>
      </c>
      <c r="C67" s="4" t="s">
        <v>150</v>
      </c>
      <c r="D67" s="10" t="s">
        <v>131</v>
      </c>
      <c r="E67" s="85">
        <v>68000</v>
      </c>
    </row>
    <row r="68" customHeight="1" spans="1:5">
      <c r="A68" s="10">
        <v>8</v>
      </c>
      <c r="B68" s="11" t="s">
        <v>171</v>
      </c>
      <c r="C68" s="17" t="s">
        <v>71</v>
      </c>
      <c r="D68" s="10" t="s">
        <v>131</v>
      </c>
      <c r="E68" s="85">
        <v>68000</v>
      </c>
    </row>
    <row r="69" customHeight="1" spans="1:5">
      <c r="A69" s="10">
        <v>9</v>
      </c>
      <c r="B69" s="11" t="s">
        <v>172</v>
      </c>
      <c r="C69" s="17" t="s">
        <v>71</v>
      </c>
      <c r="D69" s="10" t="s">
        <v>131</v>
      </c>
      <c r="E69" s="85">
        <v>68000</v>
      </c>
    </row>
    <row r="70" customHeight="1" spans="1:5">
      <c r="A70" s="10">
        <v>10</v>
      </c>
      <c r="B70" s="11" t="s">
        <v>173</v>
      </c>
      <c r="C70" s="4" t="s">
        <v>553</v>
      </c>
      <c r="D70" s="10" t="s">
        <v>69</v>
      </c>
      <c r="E70" s="85">
        <v>68000</v>
      </c>
    </row>
    <row r="71" ht="21.6" customHeight="1" spans="1:5">
      <c r="A71" s="10">
        <v>11</v>
      </c>
      <c r="B71" s="11" t="s">
        <v>177</v>
      </c>
      <c r="C71" s="4" t="s">
        <v>150</v>
      </c>
      <c r="D71" s="10" t="s">
        <v>74</v>
      </c>
      <c r="E71" s="85">
        <v>68000</v>
      </c>
    </row>
    <row r="72" ht="27" customHeight="1" spans="1:5">
      <c r="A72" s="10"/>
      <c r="B72" s="20" t="s">
        <v>120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180</v>
      </c>
      <c r="C74" s="21"/>
      <c r="D74" s="21"/>
      <c r="E74" s="146"/>
    </row>
    <row r="75" customHeight="1" spans="1:5">
      <c r="A75" s="10">
        <v>1</v>
      </c>
      <c r="B75" s="11" t="s">
        <v>181</v>
      </c>
      <c r="C75" s="4" t="s">
        <v>182</v>
      </c>
      <c r="D75" s="10" t="s">
        <v>124</v>
      </c>
      <c r="E75" s="85">
        <v>270000</v>
      </c>
    </row>
    <row r="76" customHeight="1" spans="1:5">
      <c r="A76" s="10">
        <v>2</v>
      </c>
      <c r="B76" s="14" t="s">
        <v>848</v>
      </c>
      <c r="C76" s="4" t="s">
        <v>849</v>
      </c>
      <c r="D76" s="15" t="s">
        <v>850</v>
      </c>
      <c r="E76" s="85">
        <v>126000</v>
      </c>
    </row>
    <row r="77" customHeight="1" spans="1:5">
      <c r="A77" s="10">
        <v>3</v>
      </c>
      <c r="B77" s="18" t="s">
        <v>183</v>
      </c>
      <c r="C77" s="12" t="s">
        <v>851</v>
      </c>
      <c r="D77" s="10" t="s">
        <v>161</v>
      </c>
      <c r="E77" s="85">
        <v>126000</v>
      </c>
    </row>
    <row r="78" customHeight="1" spans="1:5">
      <c r="A78" s="10">
        <v>4</v>
      </c>
      <c r="B78" s="11" t="s">
        <v>187</v>
      </c>
      <c r="C78" s="4" t="s">
        <v>188</v>
      </c>
      <c r="D78" s="15" t="s">
        <v>212</v>
      </c>
      <c r="E78" s="85">
        <v>90000</v>
      </c>
    </row>
    <row r="79" customHeight="1" spans="1:5">
      <c r="A79" s="10">
        <v>5</v>
      </c>
      <c r="B79" s="11" t="s">
        <v>194</v>
      </c>
      <c r="C79" s="4" t="s">
        <v>179</v>
      </c>
      <c r="D79" s="10" t="s">
        <v>77</v>
      </c>
      <c r="E79" s="85">
        <v>68000</v>
      </c>
    </row>
    <row r="80" customHeight="1" spans="1:5">
      <c r="A80" s="10">
        <v>6</v>
      </c>
      <c r="B80" s="11" t="s">
        <v>198</v>
      </c>
      <c r="C80" s="4" t="s">
        <v>179</v>
      </c>
      <c r="D80" s="10" t="s">
        <v>99</v>
      </c>
      <c r="E80" s="85">
        <v>54000</v>
      </c>
    </row>
    <row r="81" customHeight="1" spans="1:5">
      <c r="A81" s="10">
        <v>7</v>
      </c>
      <c r="B81" s="11" t="s">
        <v>200</v>
      </c>
      <c r="C81" s="4" t="s">
        <v>201</v>
      </c>
      <c r="D81" s="10" t="s">
        <v>111</v>
      </c>
      <c r="E81" s="85">
        <v>54000</v>
      </c>
    </row>
    <row r="82" customHeight="1" spans="1:5">
      <c r="A82" s="10"/>
      <c r="B82" s="20" t="s">
        <v>120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202</v>
      </c>
      <c r="C84" s="25"/>
      <c r="D84" s="21"/>
      <c r="E84" s="146"/>
    </row>
    <row r="85" customHeight="1" spans="1:5">
      <c r="A85" s="10">
        <v>1</v>
      </c>
      <c r="B85" s="11" t="s">
        <v>205</v>
      </c>
      <c r="C85" s="4" t="s">
        <v>142</v>
      </c>
      <c r="D85" s="10" t="s">
        <v>38</v>
      </c>
      <c r="E85" s="85">
        <v>126000</v>
      </c>
    </row>
    <row r="86" customHeight="1" spans="1:5">
      <c r="A86" s="10">
        <v>2</v>
      </c>
      <c r="B86" s="11" t="s">
        <v>203</v>
      </c>
      <c r="C86" s="4" t="s">
        <v>142</v>
      </c>
      <c r="D86" s="10" t="s">
        <v>38</v>
      </c>
      <c r="E86" s="85">
        <v>126000</v>
      </c>
    </row>
    <row r="87" customHeight="1" spans="1:5">
      <c r="A87" s="10">
        <v>3</v>
      </c>
      <c r="B87" s="11" t="s">
        <v>208</v>
      </c>
      <c r="C87" s="4" t="s">
        <v>142</v>
      </c>
      <c r="D87" s="10" t="s">
        <v>41</v>
      </c>
      <c r="E87" s="85">
        <v>126000</v>
      </c>
    </row>
    <row r="88" ht="21.6" customHeight="1" spans="1:5">
      <c r="A88" s="10">
        <v>4</v>
      </c>
      <c r="B88" s="11" t="s">
        <v>209</v>
      </c>
      <c r="C88" s="4" t="s">
        <v>852</v>
      </c>
      <c r="D88" s="15" t="s">
        <v>55</v>
      </c>
      <c r="E88" s="85">
        <v>90000</v>
      </c>
    </row>
    <row r="89" ht="21.6" customHeight="1" spans="1:5">
      <c r="A89" s="10">
        <v>5</v>
      </c>
      <c r="B89" s="11" t="s">
        <v>210</v>
      </c>
      <c r="C89" s="12" t="s">
        <v>167</v>
      </c>
      <c r="D89" s="15" t="s">
        <v>502</v>
      </c>
      <c r="E89" s="85">
        <v>90000</v>
      </c>
    </row>
    <row r="90" ht="21.6" customHeight="1" spans="1:5">
      <c r="A90" s="10">
        <v>6</v>
      </c>
      <c r="B90" s="11" t="s">
        <v>211</v>
      </c>
      <c r="C90" s="12" t="s">
        <v>51</v>
      </c>
      <c r="D90" s="15" t="s">
        <v>501</v>
      </c>
      <c r="E90" s="85">
        <v>90000</v>
      </c>
    </row>
    <row r="91" ht="21.6" customHeight="1" spans="1:5">
      <c r="A91" s="10">
        <v>7</v>
      </c>
      <c r="B91" s="11" t="s">
        <v>213</v>
      </c>
      <c r="C91" s="17" t="s">
        <v>71</v>
      </c>
      <c r="D91" s="15" t="s">
        <v>131</v>
      </c>
      <c r="E91" s="85">
        <v>68000</v>
      </c>
    </row>
    <row r="92" ht="21.6" customHeight="1" spans="1:5">
      <c r="A92" s="10">
        <v>8</v>
      </c>
      <c r="B92" s="11" t="s">
        <v>214</v>
      </c>
      <c r="C92" s="17" t="s">
        <v>167</v>
      </c>
      <c r="D92" s="15" t="s">
        <v>66</v>
      </c>
      <c r="E92" s="85">
        <v>90000</v>
      </c>
    </row>
    <row r="93" ht="21.6" customHeight="1" spans="1:5">
      <c r="A93" s="10">
        <v>9</v>
      </c>
      <c r="B93" s="11" t="s">
        <v>217</v>
      </c>
      <c r="C93" s="4" t="s">
        <v>218</v>
      </c>
      <c r="D93" s="10" t="s">
        <v>74</v>
      </c>
      <c r="E93" s="220">
        <v>66000</v>
      </c>
    </row>
    <row r="94" ht="21.6" customHeight="1" spans="1:5">
      <c r="A94" s="10">
        <v>10</v>
      </c>
      <c r="B94" s="11" t="s">
        <v>221</v>
      </c>
      <c r="C94" s="17" t="s">
        <v>222</v>
      </c>
      <c r="D94" s="15" t="s">
        <v>108</v>
      </c>
      <c r="E94" s="220">
        <v>54000</v>
      </c>
    </row>
    <row r="95" customHeight="1" spans="1:5">
      <c r="A95" s="10"/>
      <c r="B95" s="20" t="s">
        <v>120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224</v>
      </c>
      <c r="C97" s="21"/>
      <c r="D97" s="21"/>
      <c r="E97" s="146"/>
    </row>
    <row r="98" customHeight="1" spans="1:5">
      <c r="A98" s="10">
        <v>1</v>
      </c>
      <c r="B98" s="14" t="s">
        <v>225</v>
      </c>
      <c r="C98" s="4" t="s">
        <v>554</v>
      </c>
      <c r="D98" s="16" t="s">
        <v>505</v>
      </c>
      <c r="E98" s="85">
        <v>270000</v>
      </c>
    </row>
    <row r="99" customHeight="1" spans="1:5">
      <c r="A99" s="10">
        <v>2</v>
      </c>
      <c r="B99" s="11" t="s">
        <v>227</v>
      </c>
      <c r="C99" s="4" t="s">
        <v>228</v>
      </c>
      <c r="D99" s="15" t="s">
        <v>212</v>
      </c>
      <c r="E99" s="85">
        <v>90000</v>
      </c>
    </row>
    <row r="100" customHeight="1" spans="1:5">
      <c r="A100" s="10">
        <v>3</v>
      </c>
      <c r="B100" s="11" t="s">
        <v>233</v>
      </c>
      <c r="C100" s="4" t="s">
        <v>555</v>
      </c>
      <c r="D100" s="15" t="s">
        <v>69</v>
      </c>
      <c r="E100" s="85">
        <v>68000</v>
      </c>
    </row>
    <row r="101" customHeight="1" spans="1:5">
      <c r="A101" s="10">
        <v>4</v>
      </c>
      <c r="B101" s="11" t="s">
        <v>234</v>
      </c>
      <c r="C101" s="4" t="s">
        <v>197</v>
      </c>
      <c r="D101" s="15" t="s">
        <v>74</v>
      </c>
      <c r="E101" s="85">
        <v>68000</v>
      </c>
    </row>
    <row r="102" customHeight="1" spans="1:5">
      <c r="A102" s="4"/>
      <c r="B102" s="20" t="s">
        <v>120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237</v>
      </c>
      <c r="C104" s="4"/>
      <c r="D104" s="4"/>
      <c r="E104" s="4"/>
    </row>
    <row r="105" customHeight="1" spans="1:5">
      <c r="A105" s="4">
        <v>1</v>
      </c>
      <c r="B105" s="11" t="s">
        <v>556</v>
      </c>
      <c r="C105" s="12" t="s">
        <v>239</v>
      </c>
      <c r="D105" s="15" t="s">
        <v>124</v>
      </c>
      <c r="E105" s="85">
        <v>270000</v>
      </c>
    </row>
    <row r="106" customHeight="1" spans="1:5">
      <c r="A106" s="4">
        <v>2</v>
      </c>
      <c r="B106" s="11" t="s">
        <v>240</v>
      </c>
      <c r="C106" s="4" t="s">
        <v>241</v>
      </c>
      <c r="D106" s="16" t="s">
        <v>35</v>
      </c>
      <c r="E106" s="85">
        <v>180000</v>
      </c>
    </row>
    <row r="107" customHeight="1" spans="1:5">
      <c r="A107" s="4">
        <v>3</v>
      </c>
      <c r="B107" s="11" t="s">
        <v>242</v>
      </c>
      <c r="C107" s="4" t="s">
        <v>557</v>
      </c>
      <c r="D107" s="10" t="s">
        <v>55</v>
      </c>
      <c r="E107" s="85">
        <v>90000</v>
      </c>
    </row>
    <row r="108" customHeight="1" spans="1:5">
      <c r="A108" s="4">
        <v>4</v>
      </c>
      <c r="B108" s="11" t="s">
        <v>244</v>
      </c>
      <c r="C108" s="4" t="s">
        <v>557</v>
      </c>
      <c r="D108" s="10" t="s">
        <v>55</v>
      </c>
      <c r="E108" s="85">
        <v>90000</v>
      </c>
    </row>
    <row r="109" customHeight="1" spans="1:5">
      <c r="A109" s="4">
        <v>5</v>
      </c>
      <c r="B109" s="11" t="s">
        <v>247</v>
      </c>
      <c r="C109" s="4" t="s">
        <v>248</v>
      </c>
      <c r="D109" s="15" t="s">
        <v>853</v>
      </c>
      <c r="E109" s="220">
        <v>54000</v>
      </c>
    </row>
    <row r="110" customHeight="1" spans="1:5">
      <c r="A110" s="4">
        <v>6</v>
      </c>
      <c r="B110" s="18" t="s">
        <v>250</v>
      </c>
      <c r="C110" s="4" t="s">
        <v>248</v>
      </c>
      <c r="D110" s="10" t="s">
        <v>223</v>
      </c>
      <c r="E110" s="220">
        <v>54000</v>
      </c>
    </row>
    <row r="111" customHeight="1" spans="1:5">
      <c r="A111" s="4">
        <v>7</v>
      </c>
      <c r="B111" s="18" t="s">
        <v>251</v>
      </c>
      <c r="C111" s="4" t="s">
        <v>248</v>
      </c>
      <c r="D111" s="15" t="s">
        <v>108</v>
      </c>
      <c r="E111" s="220">
        <v>54000</v>
      </c>
    </row>
    <row r="112" ht="25.5" customHeight="1" spans="1:5">
      <c r="A112" s="4"/>
      <c r="B112" s="20" t="s">
        <v>120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255</v>
      </c>
      <c r="C114" s="21"/>
      <c r="D114" s="21"/>
      <c r="E114" s="146"/>
    </row>
    <row r="115" customHeight="1" spans="1:5">
      <c r="A115" s="10">
        <v>1</v>
      </c>
      <c r="B115" s="14" t="s">
        <v>163</v>
      </c>
      <c r="C115" s="4" t="s">
        <v>142</v>
      </c>
      <c r="D115" s="10" t="s">
        <v>49</v>
      </c>
      <c r="E115" s="85">
        <v>126000</v>
      </c>
    </row>
    <row r="116" ht="18.75" customHeight="1" spans="1:5">
      <c r="A116" s="10">
        <v>2</v>
      </c>
      <c r="B116" s="11" t="s">
        <v>257</v>
      </c>
      <c r="C116" s="4" t="s">
        <v>258</v>
      </c>
      <c r="D116" s="15" t="s">
        <v>69</v>
      </c>
      <c r="E116" s="85">
        <v>68000</v>
      </c>
    </row>
    <row r="117" customHeight="1" spans="1:5">
      <c r="A117" s="10">
        <v>3</v>
      </c>
      <c r="B117" s="11" t="s">
        <v>190</v>
      </c>
      <c r="C117" s="12" t="s">
        <v>854</v>
      </c>
      <c r="D117" s="15" t="s">
        <v>170</v>
      </c>
      <c r="E117" s="85">
        <v>68000</v>
      </c>
    </row>
    <row r="118" ht="24.75" customHeight="1" spans="1:5">
      <c r="A118" s="4"/>
      <c r="B118" s="20" t="s">
        <v>120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279</v>
      </c>
      <c r="C120" s="21"/>
      <c r="D120" s="21"/>
      <c r="E120" s="146"/>
    </row>
    <row r="121" customHeight="1" spans="1:5">
      <c r="A121" s="4">
        <v>1</v>
      </c>
      <c r="B121" s="11" t="s">
        <v>280</v>
      </c>
      <c r="C121" s="12" t="s">
        <v>281</v>
      </c>
      <c r="D121" s="15" t="s">
        <v>124</v>
      </c>
      <c r="E121" s="85">
        <v>270000</v>
      </c>
    </row>
    <row r="122" customHeight="1" spans="1:5">
      <c r="A122" s="4">
        <v>2</v>
      </c>
      <c r="B122" s="11" t="s">
        <v>282</v>
      </c>
      <c r="C122" s="12" t="s">
        <v>558</v>
      </c>
      <c r="D122" s="15" t="s">
        <v>207</v>
      </c>
      <c r="E122" s="85">
        <v>180000</v>
      </c>
    </row>
    <row r="123" customHeight="1" spans="1:5">
      <c r="A123" s="4">
        <v>3</v>
      </c>
      <c r="B123" s="14" t="s">
        <v>284</v>
      </c>
      <c r="C123" s="12" t="s">
        <v>559</v>
      </c>
      <c r="D123" s="15" t="s">
        <v>38</v>
      </c>
      <c r="E123" s="85">
        <v>126000</v>
      </c>
    </row>
    <row r="124" customHeight="1" spans="1:5">
      <c r="A124" s="4">
        <v>4</v>
      </c>
      <c r="B124" s="14" t="s">
        <v>855</v>
      </c>
      <c r="C124" s="12" t="s">
        <v>559</v>
      </c>
      <c r="D124" s="15" t="s">
        <v>41</v>
      </c>
      <c r="E124" s="85">
        <v>126000</v>
      </c>
    </row>
    <row r="125" customHeight="1" spans="1:5">
      <c r="A125" s="4">
        <v>5</v>
      </c>
      <c r="B125" s="11" t="s">
        <v>287</v>
      </c>
      <c r="C125" s="12" t="s">
        <v>289</v>
      </c>
      <c r="D125" s="15" t="s">
        <v>46</v>
      </c>
      <c r="E125" s="85">
        <v>90000</v>
      </c>
    </row>
    <row r="126" customHeight="1" spans="1:5">
      <c r="A126" s="4">
        <v>6</v>
      </c>
      <c r="B126" s="11" t="s">
        <v>288</v>
      </c>
      <c r="C126" s="12" t="s">
        <v>560</v>
      </c>
      <c r="D126" s="15" t="s">
        <v>52</v>
      </c>
      <c r="E126" s="85">
        <v>90000</v>
      </c>
    </row>
    <row r="127" customHeight="1" spans="1:5">
      <c r="A127" s="4">
        <v>7</v>
      </c>
      <c r="B127" s="11" t="s">
        <v>290</v>
      </c>
      <c r="C127" s="12" t="s">
        <v>289</v>
      </c>
      <c r="D127" s="15" t="s">
        <v>212</v>
      </c>
      <c r="E127" s="85">
        <v>90000</v>
      </c>
    </row>
    <row r="128" customHeight="1" spans="1:5">
      <c r="A128" s="4">
        <v>8</v>
      </c>
      <c r="B128" s="11" t="s">
        <v>293</v>
      </c>
      <c r="C128" s="12" t="s">
        <v>561</v>
      </c>
      <c r="D128" s="10" t="s">
        <v>88</v>
      </c>
      <c r="E128" s="85">
        <v>54000</v>
      </c>
    </row>
    <row r="129" customHeight="1" spans="1:5">
      <c r="A129" s="4">
        <v>9</v>
      </c>
      <c r="B129" s="18" t="s">
        <v>295</v>
      </c>
      <c r="C129" s="12" t="s">
        <v>296</v>
      </c>
      <c r="D129" s="15" t="s">
        <v>111</v>
      </c>
      <c r="E129" s="85">
        <v>54000</v>
      </c>
    </row>
    <row r="130" customHeight="1" spans="1:5">
      <c r="A130" s="4">
        <v>10</v>
      </c>
      <c r="B130" s="18" t="s">
        <v>297</v>
      </c>
      <c r="C130" s="12" t="s">
        <v>292</v>
      </c>
      <c r="D130" s="15" t="s">
        <v>111</v>
      </c>
      <c r="E130" s="85">
        <v>54000</v>
      </c>
    </row>
    <row r="131" ht="28.5" customHeight="1" spans="1:5">
      <c r="A131" s="4"/>
      <c r="B131" s="20" t="s">
        <v>120</v>
      </c>
      <c r="C131" s="26" t="s">
        <v>562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300</v>
      </c>
      <c r="C133" s="12"/>
      <c r="D133" s="15"/>
      <c r="E133" s="85"/>
    </row>
    <row r="134" customHeight="1" spans="1:5">
      <c r="A134" s="27">
        <v>1</v>
      </c>
      <c r="B134" s="11" t="s">
        <v>856</v>
      </c>
      <c r="C134" s="12" t="s">
        <v>857</v>
      </c>
      <c r="D134" s="15" t="s">
        <v>124</v>
      </c>
      <c r="E134" s="85">
        <v>270000</v>
      </c>
    </row>
    <row r="135" customHeight="1" spans="1:5">
      <c r="A135" s="27">
        <v>2</v>
      </c>
      <c r="B135" s="11" t="s">
        <v>858</v>
      </c>
      <c r="C135" s="12" t="s">
        <v>859</v>
      </c>
      <c r="D135" s="15" t="s">
        <v>35</v>
      </c>
      <c r="E135" s="85">
        <v>180000</v>
      </c>
    </row>
    <row r="136" customHeight="1" spans="1:5">
      <c r="A136" s="27">
        <v>3</v>
      </c>
      <c r="B136" s="14" t="s">
        <v>304</v>
      </c>
      <c r="C136" s="4" t="s">
        <v>305</v>
      </c>
      <c r="D136" s="16" t="s">
        <v>35</v>
      </c>
      <c r="E136" s="85">
        <v>180000</v>
      </c>
    </row>
    <row r="137" customHeight="1" spans="1:5">
      <c r="A137" s="27">
        <v>4</v>
      </c>
      <c r="B137" s="11" t="s">
        <v>306</v>
      </c>
      <c r="C137" s="12" t="s">
        <v>860</v>
      </c>
      <c r="D137" s="15" t="s">
        <v>189</v>
      </c>
      <c r="E137" s="85">
        <v>90000</v>
      </c>
    </row>
    <row r="138" customHeight="1" spans="1:5">
      <c r="A138" s="27">
        <v>5</v>
      </c>
      <c r="B138" s="11" t="s">
        <v>308</v>
      </c>
      <c r="C138" s="4" t="s">
        <v>312</v>
      </c>
      <c r="D138" s="15" t="s">
        <v>189</v>
      </c>
      <c r="E138" s="85">
        <v>90000</v>
      </c>
    </row>
    <row r="139" customHeight="1" spans="1:5">
      <c r="A139" s="27">
        <v>6</v>
      </c>
      <c r="B139" s="11" t="s">
        <v>310</v>
      </c>
      <c r="C139" s="4" t="s">
        <v>312</v>
      </c>
      <c r="D139" s="15" t="s">
        <v>189</v>
      </c>
      <c r="E139" s="85">
        <v>90000</v>
      </c>
    </row>
    <row r="140" customHeight="1" spans="1:5">
      <c r="A140" s="27">
        <v>7</v>
      </c>
      <c r="B140" s="11" t="s">
        <v>229</v>
      </c>
      <c r="C140" s="12" t="s">
        <v>861</v>
      </c>
      <c r="D140" s="15" t="s">
        <v>170</v>
      </c>
      <c r="E140" s="85">
        <v>68000</v>
      </c>
    </row>
    <row r="141" customHeight="1" spans="1:5">
      <c r="A141" s="27">
        <v>8</v>
      </c>
      <c r="B141" s="11" t="s">
        <v>313</v>
      </c>
      <c r="C141" s="12" t="s">
        <v>861</v>
      </c>
      <c r="D141" s="15" t="s">
        <v>170</v>
      </c>
      <c r="E141" s="85">
        <v>68000</v>
      </c>
    </row>
    <row r="142" customHeight="1" spans="1:5">
      <c r="A142" s="27">
        <v>9</v>
      </c>
      <c r="B142" s="11" t="s">
        <v>314</v>
      </c>
      <c r="C142" s="4" t="s">
        <v>862</v>
      </c>
      <c r="D142" s="15" t="s">
        <v>170</v>
      </c>
      <c r="E142" s="85">
        <v>68000</v>
      </c>
    </row>
    <row r="143" customHeight="1" spans="1:5">
      <c r="A143" s="27">
        <v>10</v>
      </c>
      <c r="B143" s="11" t="s">
        <v>316</v>
      </c>
      <c r="C143" s="12" t="s">
        <v>564</v>
      </c>
      <c r="D143" s="15" t="s">
        <v>69</v>
      </c>
      <c r="E143" s="85">
        <v>68000</v>
      </c>
    </row>
    <row r="144" customHeight="1" spans="1:5">
      <c r="A144" s="27">
        <v>11</v>
      </c>
      <c r="B144" s="11" t="s">
        <v>318</v>
      </c>
      <c r="C144" s="12" t="s">
        <v>319</v>
      </c>
      <c r="D144" s="15" t="s">
        <v>131</v>
      </c>
      <c r="E144" s="85">
        <v>68000</v>
      </c>
    </row>
    <row r="145" customHeight="1" spans="1:5">
      <c r="A145" s="27">
        <v>12</v>
      </c>
      <c r="B145" s="11" t="s">
        <v>61</v>
      </c>
      <c r="C145" s="12" t="s">
        <v>863</v>
      </c>
      <c r="D145" s="15" t="s">
        <v>170</v>
      </c>
      <c r="E145" s="85">
        <v>68000</v>
      </c>
    </row>
    <row r="146" customHeight="1" spans="1:5">
      <c r="A146" s="27">
        <v>13</v>
      </c>
      <c r="B146" s="18" t="s">
        <v>320</v>
      </c>
      <c r="C146" s="4" t="s">
        <v>321</v>
      </c>
      <c r="D146" s="15" t="s">
        <v>504</v>
      </c>
      <c r="E146" s="85">
        <v>68000</v>
      </c>
    </row>
    <row r="147" customHeight="1" spans="1:5">
      <c r="A147" s="27">
        <v>14</v>
      </c>
      <c r="B147" s="11" t="s">
        <v>322</v>
      </c>
      <c r="C147" s="4" t="s">
        <v>864</v>
      </c>
      <c r="D147" s="15" t="s">
        <v>77</v>
      </c>
      <c r="E147" s="85">
        <v>68000</v>
      </c>
    </row>
    <row r="148" customHeight="1" spans="1:5">
      <c r="A148" s="27">
        <v>15</v>
      </c>
      <c r="B148" s="11" t="s">
        <v>323</v>
      </c>
      <c r="C148" s="4" t="s">
        <v>864</v>
      </c>
      <c r="D148" s="15" t="s">
        <v>151</v>
      </c>
      <c r="E148" s="85">
        <v>68000</v>
      </c>
    </row>
    <row r="149" customHeight="1" spans="1:5">
      <c r="A149" s="27">
        <v>16</v>
      </c>
      <c r="B149" s="11" t="s">
        <v>325</v>
      </c>
      <c r="C149" s="4" t="s">
        <v>864</v>
      </c>
      <c r="D149" s="15" t="s">
        <v>151</v>
      </c>
      <c r="E149" s="85">
        <v>68000</v>
      </c>
    </row>
    <row r="150" customHeight="1" spans="1:5">
      <c r="A150" s="27">
        <v>17</v>
      </c>
      <c r="B150" s="11" t="s">
        <v>326</v>
      </c>
      <c r="C150" s="12" t="s">
        <v>327</v>
      </c>
      <c r="D150" s="15" t="s">
        <v>74</v>
      </c>
      <c r="E150" s="85">
        <v>68000</v>
      </c>
    </row>
    <row r="151" customHeight="1" spans="1:5">
      <c r="A151" s="27">
        <v>18</v>
      </c>
      <c r="B151" s="11" t="s">
        <v>328</v>
      </c>
      <c r="C151" s="12" t="s">
        <v>329</v>
      </c>
      <c r="D151" s="10" t="s">
        <v>99</v>
      </c>
      <c r="E151" s="85">
        <v>54000</v>
      </c>
    </row>
    <row r="152" customHeight="1" spans="1:5">
      <c r="A152" s="27">
        <v>19</v>
      </c>
      <c r="B152" s="11" t="s">
        <v>330</v>
      </c>
      <c r="C152" s="12" t="s">
        <v>565</v>
      </c>
      <c r="D152" s="15" t="s">
        <v>77</v>
      </c>
      <c r="E152" s="220">
        <v>68000</v>
      </c>
    </row>
    <row r="153" customHeight="1" spans="1:5">
      <c r="A153" s="27">
        <v>20</v>
      </c>
      <c r="B153" s="11" t="s">
        <v>332</v>
      </c>
      <c r="C153" s="12" t="s">
        <v>566</v>
      </c>
      <c r="D153" s="15" t="s">
        <v>88</v>
      </c>
      <c r="E153" s="220">
        <v>54000</v>
      </c>
    </row>
    <row r="154" customHeight="1" spans="1:5">
      <c r="A154" s="27">
        <v>21</v>
      </c>
      <c r="B154" s="11" t="s">
        <v>334</v>
      </c>
      <c r="C154" s="12" t="s">
        <v>567</v>
      </c>
      <c r="D154" s="15" t="s">
        <v>77</v>
      </c>
      <c r="E154" s="220">
        <v>68000</v>
      </c>
    </row>
    <row r="155" customHeight="1" spans="1:5">
      <c r="A155" s="27">
        <v>22</v>
      </c>
      <c r="B155" s="11" t="s">
        <v>335</v>
      </c>
      <c r="C155" s="12" t="s">
        <v>568</v>
      </c>
      <c r="D155" s="15" t="s">
        <v>88</v>
      </c>
      <c r="E155" s="220">
        <v>54000</v>
      </c>
    </row>
    <row r="156" customHeight="1" spans="1:5">
      <c r="A156" s="27">
        <v>23</v>
      </c>
      <c r="B156" s="18" t="s">
        <v>337</v>
      </c>
      <c r="C156" s="12" t="s">
        <v>338</v>
      </c>
      <c r="D156" s="15" t="s">
        <v>344</v>
      </c>
      <c r="E156" s="220">
        <v>54000</v>
      </c>
    </row>
    <row r="157" customHeight="1" spans="1:5">
      <c r="A157" s="27">
        <v>24</v>
      </c>
      <c r="B157" s="18" t="s">
        <v>345</v>
      </c>
      <c r="C157" s="12" t="s">
        <v>346</v>
      </c>
      <c r="D157" s="15" t="s">
        <v>111</v>
      </c>
      <c r="E157" s="220">
        <v>54000</v>
      </c>
    </row>
    <row r="158" customHeight="1" spans="1:5">
      <c r="A158" s="27">
        <v>25</v>
      </c>
      <c r="B158" s="18" t="s">
        <v>347</v>
      </c>
      <c r="C158" s="12" t="s">
        <v>348</v>
      </c>
      <c r="D158" s="15" t="s">
        <v>111</v>
      </c>
      <c r="E158" s="220">
        <v>54000</v>
      </c>
    </row>
    <row r="159" customHeight="1" spans="1:5">
      <c r="A159" s="27">
        <v>26</v>
      </c>
      <c r="B159" s="18" t="s">
        <v>349</v>
      </c>
      <c r="C159" s="12" t="s">
        <v>350</v>
      </c>
      <c r="D159" s="15" t="s">
        <v>111</v>
      </c>
      <c r="E159" s="220">
        <v>54000</v>
      </c>
    </row>
    <row r="160" customHeight="1" spans="1:5">
      <c r="A160" s="27">
        <v>27</v>
      </c>
      <c r="B160" s="18" t="s">
        <v>351</v>
      </c>
      <c r="C160" s="12" t="s">
        <v>569</v>
      </c>
      <c r="D160" s="15" t="s">
        <v>108</v>
      </c>
      <c r="E160" s="220">
        <v>54000</v>
      </c>
    </row>
    <row r="161" customHeight="1" spans="1:5">
      <c r="A161" s="27">
        <v>28</v>
      </c>
      <c r="B161" s="18" t="s">
        <v>352</v>
      </c>
      <c r="C161" s="12" t="s">
        <v>348</v>
      </c>
      <c r="D161" s="15" t="s">
        <v>111</v>
      </c>
      <c r="E161" s="220">
        <v>54000</v>
      </c>
    </row>
    <row r="162" customHeight="1" spans="1:5">
      <c r="A162" s="27">
        <v>29</v>
      </c>
      <c r="B162" s="11" t="s">
        <v>361</v>
      </c>
      <c r="C162" s="12" t="s">
        <v>362</v>
      </c>
      <c r="D162" s="15" t="s">
        <v>388</v>
      </c>
      <c r="E162" s="226">
        <v>36000</v>
      </c>
    </row>
    <row r="163" customHeight="1" spans="1:5">
      <c r="A163" s="27">
        <v>30</v>
      </c>
      <c r="B163" s="11" t="s">
        <v>364</v>
      </c>
      <c r="C163" s="12" t="s">
        <v>362</v>
      </c>
      <c r="D163" s="15" t="s">
        <v>388</v>
      </c>
      <c r="E163" s="226">
        <v>36000</v>
      </c>
    </row>
    <row r="164" customHeight="1" spans="1:5">
      <c r="A164" s="27">
        <v>31</v>
      </c>
      <c r="B164" s="11" t="s">
        <v>570</v>
      </c>
      <c r="C164" s="12" t="s">
        <v>362</v>
      </c>
      <c r="D164" s="15" t="s">
        <v>388</v>
      </c>
      <c r="E164" s="226">
        <v>36000</v>
      </c>
    </row>
    <row r="165" customHeight="1" spans="1:5">
      <c r="A165" s="27">
        <v>32</v>
      </c>
      <c r="B165" s="11" t="s">
        <v>365</v>
      </c>
      <c r="C165" s="12" t="s">
        <v>362</v>
      </c>
      <c r="D165" s="15" t="s">
        <v>388</v>
      </c>
      <c r="E165" s="226">
        <v>36000</v>
      </c>
    </row>
    <row r="166" customHeight="1" spans="1:5">
      <c r="A166" s="27">
        <v>33</v>
      </c>
      <c r="B166" s="11" t="s">
        <v>366</v>
      </c>
      <c r="C166" s="12" t="s">
        <v>362</v>
      </c>
      <c r="D166" s="15" t="s">
        <v>388</v>
      </c>
      <c r="E166" s="226">
        <v>36000</v>
      </c>
    </row>
    <row r="167" customHeight="1" spans="1:5">
      <c r="A167" s="27">
        <v>34</v>
      </c>
      <c r="B167" s="11" t="s">
        <v>367</v>
      </c>
      <c r="C167" s="12" t="s">
        <v>362</v>
      </c>
      <c r="D167" s="15" t="s">
        <v>381</v>
      </c>
      <c r="E167" s="226">
        <v>36000</v>
      </c>
    </row>
    <row r="168" customHeight="1" spans="1:5">
      <c r="A168" s="27">
        <v>35</v>
      </c>
      <c r="B168" s="11" t="s">
        <v>369</v>
      </c>
      <c r="C168" s="12" t="s">
        <v>362</v>
      </c>
      <c r="D168" s="15" t="s">
        <v>381</v>
      </c>
      <c r="E168" s="226">
        <v>36000</v>
      </c>
    </row>
    <row r="169" customHeight="1" spans="1:5">
      <c r="A169" s="27">
        <v>36</v>
      </c>
      <c r="B169" s="14" t="s">
        <v>370</v>
      </c>
      <c r="C169" s="12" t="s">
        <v>362</v>
      </c>
      <c r="D169" s="15" t="s">
        <v>381</v>
      </c>
      <c r="E169" s="226">
        <v>36000</v>
      </c>
    </row>
    <row r="170" customHeight="1" spans="1:5">
      <c r="A170" s="27">
        <v>37</v>
      </c>
      <c r="B170" s="11" t="s">
        <v>371</v>
      </c>
      <c r="C170" s="12" t="s">
        <v>362</v>
      </c>
      <c r="D170" s="15" t="s">
        <v>381</v>
      </c>
      <c r="E170" s="226">
        <v>36000</v>
      </c>
    </row>
    <row r="171" customHeight="1" spans="1:5">
      <c r="A171" s="27">
        <v>38</v>
      </c>
      <c r="B171" s="18" t="s">
        <v>372</v>
      </c>
      <c r="C171" s="12" t="s">
        <v>362</v>
      </c>
      <c r="D171" s="15" t="s">
        <v>381</v>
      </c>
      <c r="E171" s="226">
        <v>36000</v>
      </c>
    </row>
    <row r="172" customHeight="1" spans="1:5">
      <c r="A172" s="27">
        <v>39</v>
      </c>
      <c r="B172" s="18" t="s">
        <v>359</v>
      </c>
      <c r="C172" s="12" t="s">
        <v>362</v>
      </c>
      <c r="D172" s="15" t="s">
        <v>381</v>
      </c>
      <c r="E172" s="226">
        <v>36000</v>
      </c>
    </row>
    <row r="173" customHeight="1" spans="1:5">
      <c r="A173" s="27">
        <v>40</v>
      </c>
      <c r="B173" s="11" t="s">
        <v>373</v>
      </c>
      <c r="C173" s="12" t="s">
        <v>374</v>
      </c>
      <c r="D173" s="15" t="s">
        <v>511</v>
      </c>
      <c r="E173" s="226">
        <v>36000</v>
      </c>
    </row>
    <row r="174" customHeight="1" spans="1:5">
      <c r="A174" s="27">
        <v>41</v>
      </c>
      <c r="B174" s="11" t="s">
        <v>376</v>
      </c>
      <c r="C174" s="12" t="s">
        <v>374</v>
      </c>
      <c r="D174" s="15" t="s">
        <v>511</v>
      </c>
      <c r="E174" s="226">
        <v>36000</v>
      </c>
    </row>
    <row r="175" customHeight="1" spans="1:5">
      <c r="A175" s="27">
        <v>42</v>
      </c>
      <c r="B175" s="18" t="s">
        <v>377</v>
      </c>
      <c r="C175" s="12" t="s">
        <v>374</v>
      </c>
      <c r="D175" s="15" t="s">
        <v>510</v>
      </c>
      <c r="E175" s="226">
        <v>36000</v>
      </c>
    </row>
    <row r="176" customHeight="1" spans="1:5">
      <c r="A176" s="27">
        <v>43</v>
      </c>
      <c r="B176" s="11" t="s">
        <v>379</v>
      </c>
      <c r="C176" s="12" t="s">
        <v>393</v>
      </c>
      <c r="D176" s="15" t="s">
        <v>512</v>
      </c>
      <c r="E176" s="85">
        <v>36000</v>
      </c>
    </row>
    <row r="177" customHeight="1" spans="1:5">
      <c r="A177" s="27">
        <v>44</v>
      </c>
      <c r="B177" s="11" t="s">
        <v>382</v>
      </c>
      <c r="C177" s="12" t="s">
        <v>390</v>
      </c>
      <c r="D177" s="15" t="s">
        <v>573</v>
      </c>
      <c r="E177" s="85">
        <v>36000</v>
      </c>
    </row>
    <row r="178" customHeight="1" spans="1:5">
      <c r="A178" s="27">
        <v>45</v>
      </c>
      <c r="B178" s="11" t="s">
        <v>383</v>
      </c>
      <c r="C178" s="12" t="s">
        <v>390</v>
      </c>
      <c r="D178" s="15" t="s">
        <v>573</v>
      </c>
      <c r="E178" s="85">
        <v>36000</v>
      </c>
    </row>
    <row r="179" customHeight="1" spans="1:5">
      <c r="A179" s="27">
        <v>46</v>
      </c>
      <c r="B179" s="11" t="s">
        <v>384</v>
      </c>
      <c r="C179" s="12" t="s">
        <v>390</v>
      </c>
      <c r="D179" s="15" t="s">
        <v>573</v>
      </c>
      <c r="E179" s="85">
        <v>36000</v>
      </c>
    </row>
    <row r="180" customHeight="1" spans="1:5">
      <c r="A180" s="27">
        <v>47</v>
      </c>
      <c r="B180" s="11" t="s">
        <v>385</v>
      </c>
      <c r="C180" s="12" t="s">
        <v>390</v>
      </c>
      <c r="D180" s="15" t="s">
        <v>573</v>
      </c>
      <c r="E180" s="85">
        <v>36000</v>
      </c>
    </row>
    <row r="181" customHeight="1" spans="1:5">
      <c r="A181" s="27">
        <v>48</v>
      </c>
      <c r="B181" s="11" t="s">
        <v>386</v>
      </c>
      <c r="C181" s="12" t="s">
        <v>390</v>
      </c>
      <c r="D181" s="15" t="s">
        <v>573</v>
      </c>
      <c r="E181" s="85">
        <v>36000</v>
      </c>
    </row>
    <row r="182" customHeight="1" spans="1:5">
      <c r="A182" s="27">
        <v>49</v>
      </c>
      <c r="B182" s="18" t="s">
        <v>387</v>
      </c>
      <c r="C182" s="12" t="s">
        <v>390</v>
      </c>
      <c r="D182" s="15" t="s">
        <v>573</v>
      </c>
      <c r="E182" s="85">
        <v>36000</v>
      </c>
    </row>
    <row r="183" customHeight="1" spans="1:5">
      <c r="A183" s="27">
        <v>50</v>
      </c>
      <c r="B183" s="18" t="s">
        <v>389</v>
      </c>
      <c r="C183" s="12" t="s">
        <v>390</v>
      </c>
      <c r="D183" s="15" t="s">
        <v>573</v>
      </c>
      <c r="E183" s="85">
        <v>36000</v>
      </c>
    </row>
    <row r="184" customHeight="1" spans="1:5">
      <c r="A184" s="27">
        <v>51</v>
      </c>
      <c r="B184" s="11" t="s">
        <v>572</v>
      </c>
      <c r="C184" s="12" t="s">
        <v>393</v>
      </c>
      <c r="D184" s="15" t="s">
        <v>573</v>
      </c>
      <c r="E184" s="85">
        <v>36000</v>
      </c>
    </row>
    <row r="185" customHeight="1" spans="1:5">
      <c r="A185" s="27">
        <v>52</v>
      </c>
      <c r="B185" s="11" t="s">
        <v>392</v>
      </c>
      <c r="C185" s="12" t="s">
        <v>393</v>
      </c>
      <c r="D185" s="15" t="s">
        <v>573</v>
      </c>
      <c r="E185" s="85">
        <v>36000</v>
      </c>
    </row>
    <row r="186" customHeight="1" spans="1:5">
      <c r="A186" s="27">
        <v>53</v>
      </c>
      <c r="B186" s="18" t="s">
        <v>360</v>
      </c>
      <c r="C186" s="12" t="s">
        <v>395</v>
      </c>
      <c r="D186" s="15" t="s">
        <v>396</v>
      </c>
      <c r="E186" s="85">
        <v>36000</v>
      </c>
    </row>
    <row r="187" customHeight="1" spans="1:5">
      <c r="A187" s="27">
        <v>54</v>
      </c>
      <c r="B187" s="18" t="s">
        <v>397</v>
      </c>
      <c r="C187" s="12" t="s">
        <v>390</v>
      </c>
      <c r="D187" s="15" t="s">
        <v>403</v>
      </c>
      <c r="E187" s="85">
        <v>36000</v>
      </c>
    </row>
    <row r="188" customHeight="1" spans="1:5">
      <c r="A188" s="27">
        <v>55</v>
      </c>
      <c r="B188" s="18" t="s">
        <v>401</v>
      </c>
      <c r="C188" s="12" t="s">
        <v>402</v>
      </c>
      <c r="D188" s="15" t="s">
        <v>865</v>
      </c>
      <c r="E188" s="85">
        <v>36000</v>
      </c>
    </row>
    <row r="189" customHeight="1" spans="1:5">
      <c r="A189" s="27">
        <v>56</v>
      </c>
      <c r="B189" s="18" t="s">
        <v>404</v>
      </c>
      <c r="C189" s="12" t="s">
        <v>402</v>
      </c>
      <c r="D189" s="15" t="s">
        <v>865</v>
      </c>
      <c r="E189" s="85">
        <v>36000</v>
      </c>
    </row>
    <row r="190" customHeight="1" spans="1:5">
      <c r="A190" s="27">
        <v>57</v>
      </c>
      <c r="B190" s="18" t="s">
        <v>405</v>
      </c>
      <c r="C190" s="12" t="s">
        <v>402</v>
      </c>
      <c r="D190" s="15" t="s">
        <v>865</v>
      </c>
      <c r="E190" s="85">
        <v>36000</v>
      </c>
    </row>
    <row r="191" customHeight="1" spans="1:5">
      <c r="A191" s="27">
        <v>58</v>
      </c>
      <c r="B191" s="18" t="s">
        <v>406</v>
      </c>
      <c r="C191" s="12" t="s">
        <v>407</v>
      </c>
      <c r="D191" s="15" t="s">
        <v>398</v>
      </c>
      <c r="E191" s="85">
        <v>36000</v>
      </c>
    </row>
    <row r="192" customHeight="1" spans="1:5">
      <c r="A192" s="27">
        <v>59</v>
      </c>
      <c r="B192" s="18" t="s">
        <v>409</v>
      </c>
      <c r="C192" s="12" t="s">
        <v>407</v>
      </c>
      <c r="D192" s="15" t="s">
        <v>398</v>
      </c>
      <c r="E192" s="85">
        <v>36000</v>
      </c>
    </row>
    <row r="193" ht="30.75" customHeight="1" spans="1:5">
      <c r="A193" s="27"/>
      <c r="B193" s="8" t="s">
        <v>120</v>
      </c>
      <c r="C193" s="28" t="s">
        <v>866</v>
      </c>
      <c r="D193" s="29"/>
      <c r="E193" s="93">
        <f>SUM(E134:E192)</f>
        <v>3386000</v>
      </c>
    </row>
    <row r="194" ht="42.75" customHeight="1" spans="1:5">
      <c r="A194" s="4"/>
      <c r="B194" s="30" t="s">
        <v>411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1065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756</v>
      </c>
      <c r="F4" s="218" t="s">
        <v>1066</v>
      </c>
      <c r="G4" s="218" t="s">
        <v>1067</v>
      </c>
      <c r="H4" s="218" t="s">
        <v>1068</v>
      </c>
      <c r="I4" s="218" t="s">
        <v>8</v>
      </c>
      <c r="J4" s="505" t="s">
        <v>973</v>
      </c>
      <c r="K4" s="505" t="s">
        <v>1069</v>
      </c>
      <c r="L4" s="505" t="s">
        <v>1070</v>
      </c>
      <c r="M4" s="506" t="s">
        <v>1071</v>
      </c>
      <c r="N4" s="568" t="s">
        <v>1072</v>
      </c>
      <c r="O4" s="568" t="s">
        <v>1073</v>
      </c>
      <c r="P4" s="569"/>
      <c r="Q4" s="587" t="s">
        <v>1074</v>
      </c>
    </row>
    <row r="5" ht="17.25" customHeight="1" spans="3:17">
      <c r="C5" s="8"/>
      <c r="D5" s="8"/>
      <c r="L5" s="369" t="s">
        <v>527</v>
      </c>
      <c r="O5" s="570" t="s">
        <v>528</v>
      </c>
      <c r="P5" s="571"/>
      <c r="Q5" s="369" t="s">
        <v>1075</v>
      </c>
    </row>
    <row r="6" ht="20.1" customHeight="1" spans="1:17">
      <c r="A6" s="9" t="s">
        <v>21</v>
      </c>
      <c r="B6" s="8" t="s">
        <v>22</v>
      </c>
      <c r="C6" s="8"/>
      <c r="D6" s="8"/>
      <c r="E6" s="82" t="s">
        <v>20</v>
      </c>
      <c r="F6" s="82" t="s">
        <v>20</v>
      </c>
      <c r="G6" s="82" t="s">
        <v>20</v>
      </c>
      <c r="H6" s="82" t="s">
        <v>20</v>
      </c>
      <c r="I6" s="82" t="s">
        <v>20</v>
      </c>
      <c r="J6" s="82" t="s">
        <v>20</v>
      </c>
      <c r="K6" s="82" t="s">
        <v>20</v>
      </c>
      <c r="L6" s="82" t="s">
        <v>20</v>
      </c>
      <c r="M6" s="82" t="s">
        <v>20</v>
      </c>
      <c r="N6" s="572" t="s">
        <v>20</v>
      </c>
      <c r="O6" s="572" t="s">
        <v>20</v>
      </c>
      <c r="P6" s="573"/>
      <c r="Q6" s="588" t="s">
        <v>20</v>
      </c>
    </row>
    <row r="7" ht="20.1" customHeight="1" spans="1:17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301</v>
      </c>
      <c r="C11" s="4" t="s">
        <v>1057</v>
      </c>
      <c r="D11" s="10" t="s">
        <v>28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833</v>
      </c>
      <c r="C12" s="10" t="s">
        <v>834</v>
      </c>
      <c r="D12" s="10" t="s">
        <v>28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33</v>
      </c>
      <c r="C13" s="12" t="s">
        <v>835</v>
      </c>
      <c r="D13" s="15" t="s">
        <v>38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36</v>
      </c>
      <c r="C14" s="4" t="s">
        <v>37</v>
      </c>
      <c r="D14" s="10" t="s">
        <v>41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39</v>
      </c>
      <c r="C15" s="4" t="s">
        <v>547</v>
      </c>
      <c r="D15" s="15" t="s">
        <v>189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42</v>
      </c>
      <c r="C16" s="17" t="s">
        <v>51</v>
      </c>
      <c r="D16" s="15" t="s">
        <v>46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44</v>
      </c>
      <c r="C17" s="4" t="s">
        <v>45</v>
      </c>
      <c r="D17" s="10" t="s">
        <v>52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47</v>
      </c>
      <c r="C18" s="4" t="s">
        <v>836</v>
      </c>
      <c r="D18" s="10" t="s">
        <v>55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50</v>
      </c>
      <c r="C19" s="12" t="s">
        <v>60</v>
      </c>
      <c r="D19" s="15" t="s">
        <v>502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53</v>
      </c>
      <c r="C20" s="4" t="s">
        <v>1058</v>
      </c>
      <c r="D20" s="15" t="s">
        <v>58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64</v>
      </c>
      <c r="C21" s="12" t="s">
        <v>176</v>
      </c>
      <c r="D21" s="15" t="s">
        <v>69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67</v>
      </c>
      <c r="C22" s="17" t="s">
        <v>1059</v>
      </c>
      <c r="D22" s="10" t="s">
        <v>504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70</v>
      </c>
      <c r="C23" s="17" t="s">
        <v>71</v>
      </c>
      <c r="D23" s="15" t="s">
        <v>504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72</v>
      </c>
      <c r="C24" s="17" t="s">
        <v>73</v>
      </c>
      <c r="D24" s="10" t="s">
        <v>80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485</v>
      </c>
      <c r="C25" s="4" t="s">
        <v>94</v>
      </c>
      <c r="D25" s="10" t="s">
        <v>88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78</v>
      </c>
      <c r="C26" s="12" t="s">
        <v>94</v>
      </c>
      <c r="D26" s="15" t="s">
        <v>88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81</v>
      </c>
      <c r="C27" s="17" t="s">
        <v>68</v>
      </c>
      <c r="D27" s="10" t="s">
        <v>88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83</v>
      </c>
      <c r="C28" s="12" t="s">
        <v>84</v>
      </c>
      <c r="D28" s="15" t="s">
        <v>99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86</v>
      </c>
      <c r="C29" s="4" t="s">
        <v>87</v>
      </c>
      <c r="D29" s="10" t="s">
        <v>344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89</v>
      </c>
      <c r="C30" s="4" t="s">
        <v>87</v>
      </c>
      <c r="D30" s="10" t="s">
        <v>344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91</v>
      </c>
      <c r="C31" s="17" t="s">
        <v>550</v>
      </c>
      <c r="D31" s="15" t="s">
        <v>88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95</v>
      </c>
      <c r="C32" s="4" t="s">
        <v>551</v>
      </c>
      <c r="D32" s="10" t="s">
        <v>108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103</v>
      </c>
      <c r="C33" s="12" t="s">
        <v>104</v>
      </c>
      <c r="D33" s="15" t="s">
        <v>111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120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121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122</v>
      </c>
      <c r="C37" s="4" t="s">
        <v>123</v>
      </c>
      <c r="D37" s="10" t="s">
        <v>124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127</v>
      </c>
      <c r="C38" s="4" t="s">
        <v>1060</v>
      </c>
      <c r="D38" s="10" t="s">
        <v>80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129</v>
      </c>
      <c r="C39" s="12" t="s">
        <v>1061</v>
      </c>
      <c r="D39" s="15" t="s">
        <v>74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137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837</v>
      </c>
      <c r="C43" s="4" t="s">
        <v>838</v>
      </c>
      <c r="D43" s="10" t="s">
        <v>124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839</v>
      </c>
      <c r="C44" s="4" t="s">
        <v>43</v>
      </c>
      <c r="D44" s="10" t="s">
        <v>38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138</v>
      </c>
      <c r="C45" s="4" t="s">
        <v>552</v>
      </c>
      <c r="D45" s="10" t="s">
        <v>207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141</v>
      </c>
      <c r="C46" s="4" t="s">
        <v>142</v>
      </c>
      <c r="D46" s="10" t="s">
        <v>38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143</v>
      </c>
      <c r="C47" s="4" t="s">
        <v>142</v>
      </c>
      <c r="D47" s="10" t="s">
        <v>38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144</v>
      </c>
      <c r="C48" s="4" t="s">
        <v>142</v>
      </c>
      <c r="D48" s="10" t="s">
        <v>41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145</v>
      </c>
      <c r="C49" s="4" t="s">
        <v>51</v>
      </c>
      <c r="D49" s="16" t="s">
        <v>46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149</v>
      </c>
      <c r="C50" s="4" t="s">
        <v>150</v>
      </c>
      <c r="D50" s="10" t="s">
        <v>74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153</v>
      </c>
      <c r="C51" s="4" t="s">
        <v>150</v>
      </c>
      <c r="D51" s="10" t="s">
        <v>99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840</v>
      </c>
      <c r="C52" s="4" t="s">
        <v>150</v>
      </c>
      <c r="D52" s="10" t="s">
        <v>99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154</v>
      </c>
      <c r="C53" s="4" t="s">
        <v>150</v>
      </c>
      <c r="D53" s="10" t="s">
        <v>99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120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156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841</v>
      </c>
      <c r="C57" s="12" t="s">
        <v>158</v>
      </c>
      <c r="D57" s="15" t="s">
        <v>124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159</v>
      </c>
      <c r="C58" s="12" t="s">
        <v>160</v>
      </c>
      <c r="D58" s="15" t="s">
        <v>161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120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162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842</v>
      </c>
      <c r="C62" s="17" t="s">
        <v>843</v>
      </c>
      <c r="D62" s="10" t="s">
        <v>124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844</v>
      </c>
      <c r="C63" s="17" t="s">
        <v>845</v>
      </c>
      <c r="D63" s="15" t="s">
        <v>49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165</v>
      </c>
      <c r="C64" s="4" t="s">
        <v>51</v>
      </c>
      <c r="D64" s="10" t="s">
        <v>52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846</v>
      </c>
      <c r="C65" s="17" t="s">
        <v>167</v>
      </c>
      <c r="D65" s="15" t="s">
        <v>502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847</v>
      </c>
      <c r="C66" s="17" t="s">
        <v>51</v>
      </c>
      <c r="D66" s="15" t="s">
        <v>189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169</v>
      </c>
      <c r="C67" s="4" t="s">
        <v>150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171</v>
      </c>
      <c r="C68" s="17" t="s">
        <v>71</v>
      </c>
      <c r="D68" s="10" t="s">
        <v>131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172</v>
      </c>
      <c r="C69" s="17" t="s">
        <v>71</v>
      </c>
      <c r="D69" s="10" t="s">
        <v>131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173</v>
      </c>
      <c r="C70" s="4" t="s">
        <v>553</v>
      </c>
      <c r="D70" s="10" t="s">
        <v>69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177</v>
      </c>
      <c r="C71" s="4" t="s">
        <v>150</v>
      </c>
      <c r="D71" s="10" t="s">
        <v>74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120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180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181</v>
      </c>
      <c r="C75" s="4" t="s">
        <v>182</v>
      </c>
      <c r="D75" s="10" t="s">
        <v>124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848</v>
      </c>
      <c r="C76" s="4" t="s">
        <v>849</v>
      </c>
      <c r="D76" s="15" t="s">
        <v>850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183</v>
      </c>
      <c r="C77" s="12" t="s">
        <v>851</v>
      </c>
      <c r="D77" s="10" t="s">
        <v>161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187</v>
      </c>
      <c r="C78" s="4" t="s">
        <v>188</v>
      </c>
      <c r="D78" s="15" t="s">
        <v>212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194</v>
      </c>
      <c r="C79" s="4" t="s">
        <v>179</v>
      </c>
      <c r="D79" s="10" t="s">
        <v>77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198</v>
      </c>
      <c r="C80" s="4" t="s">
        <v>179</v>
      </c>
      <c r="D80" s="10" t="s">
        <v>99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200</v>
      </c>
      <c r="C81" s="4" t="s">
        <v>201</v>
      </c>
      <c r="D81" s="10" t="s">
        <v>111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120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202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205</v>
      </c>
      <c r="C85" s="4" t="s">
        <v>142</v>
      </c>
      <c r="D85" s="10" t="s">
        <v>38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203</v>
      </c>
      <c r="C86" s="4" t="s">
        <v>142</v>
      </c>
      <c r="D86" s="10" t="s">
        <v>38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208</v>
      </c>
      <c r="C87" s="4" t="s">
        <v>142</v>
      </c>
      <c r="D87" s="10" t="s">
        <v>41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209</v>
      </c>
      <c r="C88" s="4" t="s">
        <v>852</v>
      </c>
      <c r="D88" s="15" t="s">
        <v>55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210</v>
      </c>
      <c r="C89" s="12" t="s">
        <v>167</v>
      </c>
      <c r="D89" s="15" t="s">
        <v>502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211</v>
      </c>
      <c r="C90" s="12" t="s">
        <v>51</v>
      </c>
      <c r="D90" s="15" t="s">
        <v>501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213</v>
      </c>
      <c r="C91" s="17" t="s">
        <v>71</v>
      </c>
      <c r="D91" s="15" t="s">
        <v>131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214</v>
      </c>
      <c r="C92" s="17" t="s">
        <v>167</v>
      </c>
      <c r="D92" s="15" t="s">
        <v>66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217</v>
      </c>
      <c r="C93" s="4" t="s">
        <v>218</v>
      </c>
      <c r="D93" s="10" t="s">
        <v>74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221</v>
      </c>
      <c r="C94" s="17" t="s">
        <v>222</v>
      </c>
      <c r="D94" s="15" t="s">
        <v>108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120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224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225</v>
      </c>
      <c r="C98" s="4" t="s">
        <v>554</v>
      </c>
      <c r="D98" s="16" t="s">
        <v>35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227</v>
      </c>
      <c r="C99" s="4" t="s">
        <v>228</v>
      </c>
      <c r="D99" s="15" t="s">
        <v>212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233</v>
      </c>
      <c r="C100" s="4" t="s">
        <v>555</v>
      </c>
      <c r="D100" s="15" t="s">
        <v>69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234</v>
      </c>
      <c r="C101" s="4" t="s">
        <v>197</v>
      </c>
      <c r="D101" s="15" t="s">
        <v>74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120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237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556</v>
      </c>
      <c r="C105" s="12" t="s">
        <v>239</v>
      </c>
      <c r="D105" s="15" t="s">
        <v>124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240</v>
      </c>
      <c r="C106" s="4" t="s">
        <v>241</v>
      </c>
      <c r="D106" s="16" t="s">
        <v>35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242</v>
      </c>
      <c r="C107" s="4" t="s">
        <v>557</v>
      </c>
      <c r="D107" s="10" t="s">
        <v>55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244</v>
      </c>
      <c r="C108" s="4" t="s">
        <v>557</v>
      </c>
      <c r="D108" s="10" t="s">
        <v>55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247</v>
      </c>
      <c r="C109" s="4" t="s">
        <v>248</v>
      </c>
      <c r="D109" s="15" t="s">
        <v>853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250</v>
      </c>
      <c r="C110" s="4" t="s">
        <v>248</v>
      </c>
      <c r="D110" s="10" t="s">
        <v>223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251</v>
      </c>
      <c r="C111" s="4" t="s">
        <v>248</v>
      </c>
      <c r="D111" s="15" t="s">
        <v>108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120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255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163</v>
      </c>
      <c r="C115" s="4" t="s">
        <v>142</v>
      </c>
      <c r="D115" s="10" t="s">
        <v>49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257</v>
      </c>
      <c r="C116" s="4" t="s">
        <v>258</v>
      </c>
      <c r="D116" s="15" t="s">
        <v>69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190</v>
      </c>
      <c r="C117" s="12" t="s">
        <v>854</v>
      </c>
      <c r="D117" s="15" t="s">
        <v>170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120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279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280</v>
      </c>
      <c r="C121" s="12" t="s">
        <v>281</v>
      </c>
      <c r="D121" s="15" t="s">
        <v>124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282</v>
      </c>
      <c r="C122" s="12" t="s">
        <v>558</v>
      </c>
      <c r="D122" s="15" t="s">
        <v>207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284</v>
      </c>
      <c r="C123" s="12" t="s">
        <v>559</v>
      </c>
      <c r="D123" s="15" t="s">
        <v>38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855</v>
      </c>
      <c r="C124" s="12" t="s">
        <v>559</v>
      </c>
      <c r="D124" s="15" t="s">
        <v>41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287</v>
      </c>
      <c r="C125" s="12" t="s">
        <v>289</v>
      </c>
      <c r="D125" s="15" t="s">
        <v>46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288</v>
      </c>
      <c r="C126" s="12" t="s">
        <v>560</v>
      </c>
      <c r="D126" s="15" t="s">
        <v>52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290</v>
      </c>
      <c r="C127" s="12" t="s">
        <v>289</v>
      </c>
      <c r="D127" s="15" t="s">
        <v>212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293</v>
      </c>
      <c r="C128" s="12" t="s">
        <v>561</v>
      </c>
      <c r="D128" s="10" t="s">
        <v>88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295</v>
      </c>
      <c r="C129" s="12" t="s">
        <v>296</v>
      </c>
      <c r="D129" s="15" t="s">
        <v>111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297</v>
      </c>
      <c r="C130" s="12" t="s">
        <v>292</v>
      </c>
      <c r="D130" s="15" t="s">
        <v>111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120</v>
      </c>
      <c r="C131" s="26" t="s">
        <v>562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300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856</v>
      </c>
      <c r="C134" s="12" t="s">
        <v>857</v>
      </c>
      <c r="D134" s="15" t="s">
        <v>124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858</v>
      </c>
      <c r="C135" s="12" t="s">
        <v>859</v>
      </c>
      <c r="D135" s="15" t="s">
        <v>35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304</v>
      </c>
      <c r="C136" s="4" t="s">
        <v>305</v>
      </c>
      <c r="D136" s="16" t="s">
        <v>35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306</v>
      </c>
      <c r="C137" s="12" t="s">
        <v>860</v>
      </c>
      <c r="D137" s="15" t="s">
        <v>189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308</v>
      </c>
      <c r="C138" s="4" t="s">
        <v>312</v>
      </c>
      <c r="D138" s="15" t="s">
        <v>189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310</v>
      </c>
      <c r="C139" s="4" t="s">
        <v>312</v>
      </c>
      <c r="D139" s="15" t="s">
        <v>189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229</v>
      </c>
      <c r="C140" s="12" t="s">
        <v>861</v>
      </c>
      <c r="D140" s="15" t="s">
        <v>170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313</v>
      </c>
      <c r="C141" s="12" t="s">
        <v>861</v>
      </c>
      <c r="D141" s="15" t="s">
        <v>170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314</v>
      </c>
      <c r="C142" s="4" t="s">
        <v>862</v>
      </c>
      <c r="D142" s="15" t="s">
        <v>170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316</v>
      </c>
      <c r="C143" s="12" t="s">
        <v>564</v>
      </c>
      <c r="D143" s="15" t="s">
        <v>69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318</v>
      </c>
      <c r="C144" s="12" t="s">
        <v>319</v>
      </c>
      <c r="D144" s="15" t="s">
        <v>131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61</v>
      </c>
      <c r="C145" s="12" t="s">
        <v>863</v>
      </c>
      <c r="D145" s="15" t="s">
        <v>170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320</v>
      </c>
      <c r="C146" s="4" t="s">
        <v>321</v>
      </c>
      <c r="D146" s="15" t="s">
        <v>504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322</v>
      </c>
      <c r="C147" s="4" t="s">
        <v>864</v>
      </c>
      <c r="D147" s="15" t="s">
        <v>77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323</v>
      </c>
      <c r="C148" s="4" t="s">
        <v>864</v>
      </c>
      <c r="D148" s="15" t="s">
        <v>151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325</v>
      </c>
      <c r="C149" s="4" t="s">
        <v>864</v>
      </c>
      <c r="D149" s="15" t="s">
        <v>151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326</v>
      </c>
      <c r="C150" s="12" t="s">
        <v>327</v>
      </c>
      <c r="D150" s="15" t="s">
        <v>74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328</v>
      </c>
      <c r="C151" s="12" t="s">
        <v>329</v>
      </c>
      <c r="D151" s="10" t="s">
        <v>99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330</v>
      </c>
      <c r="C152" s="12" t="s">
        <v>565</v>
      </c>
      <c r="D152" s="15" t="s">
        <v>77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332</v>
      </c>
      <c r="C153" s="12" t="s">
        <v>566</v>
      </c>
      <c r="D153" s="15" t="s">
        <v>88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334</v>
      </c>
      <c r="C154" s="12" t="s">
        <v>567</v>
      </c>
      <c r="D154" s="15" t="s">
        <v>77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335</v>
      </c>
      <c r="C155" s="12" t="s">
        <v>568</v>
      </c>
      <c r="D155" s="15" t="s">
        <v>88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337</v>
      </c>
      <c r="C156" s="12" t="s">
        <v>338</v>
      </c>
      <c r="D156" s="15" t="s">
        <v>344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345</v>
      </c>
      <c r="C157" s="12" t="s">
        <v>346</v>
      </c>
      <c r="D157" s="15" t="s">
        <v>111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347</v>
      </c>
      <c r="C158" s="12" t="s">
        <v>348</v>
      </c>
      <c r="D158" s="15" t="s">
        <v>111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349</v>
      </c>
      <c r="C159" s="12" t="s">
        <v>350</v>
      </c>
      <c r="D159" s="15" t="s">
        <v>111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351</v>
      </c>
      <c r="C160" s="12" t="s">
        <v>569</v>
      </c>
      <c r="D160" s="15" t="s">
        <v>108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352</v>
      </c>
      <c r="C161" s="12" t="s">
        <v>348</v>
      </c>
      <c r="D161" s="15" t="s">
        <v>111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361</v>
      </c>
      <c r="C162" s="12" t="s">
        <v>362</v>
      </c>
      <c r="D162" s="15" t="s">
        <v>388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364</v>
      </c>
      <c r="C163" s="12" t="s">
        <v>362</v>
      </c>
      <c r="D163" s="15" t="s">
        <v>388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570</v>
      </c>
      <c r="C164" s="12" t="s">
        <v>362</v>
      </c>
      <c r="D164" s="15" t="s">
        <v>388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365</v>
      </c>
      <c r="C165" s="12" t="s">
        <v>362</v>
      </c>
      <c r="D165" s="15" t="s">
        <v>388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366</v>
      </c>
      <c r="C166" s="12" t="s">
        <v>362</v>
      </c>
      <c r="D166" s="15" t="s">
        <v>388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367</v>
      </c>
      <c r="C167" s="12" t="s">
        <v>362</v>
      </c>
      <c r="D167" s="15" t="s">
        <v>381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369</v>
      </c>
      <c r="C168" s="12" t="s">
        <v>362</v>
      </c>
      <c r="D168" s="15" t="s">
        <v>381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370</v>
      </c>
      <c r="C169" s="12" t="s">
        <v>362</v>
      </c>
      <c r="D169" s="15" t="s">
        <v>381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371</v>
      </c>
      <c r="C170" s="12" t="s">
        <v>362</v>
      </c>
      <c r="D170" s="15" t="s">
        <v>381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372</v>
      </c>
      <c r="C171" s="12" t="s">
        <v>362</v>
      </c>
      <c r="D171" s="15" t="s">
        <v>381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359</v>
      </c>
      <c r="C172" s="12" t="s">
        <v>362</v>
      </c>
      <c r="D172" s="15" t="s">
        <v>381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373</v>
      </c>
      <c r="C173" s="12" t="s">
        <v>374</v>
      </c>
      <c r="D173" s="15" t="s">
        <v>511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376</v>
      </c>
      <c r="C174" s="12" t="s">
        <v>374</v>
      </c>
      <c r="D174" s="15" t="s">
        <v>511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377</v>
      </c>
      <c r="C175" s="12" t="s">
        <v>374</v>
      </c>
      <c r="D175" s="15" t="s">
        <v>510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379</v>
      </c>
      <c r="C176" s="12" t="s">
        <v>393</v>
      </c>
      <c r="D176" s="15" t="s">
        <v>512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382</v>
      </c>
      <c r="C177" s="12" t="s">
        <v>390</v>
      </c>
      <c r="D177" s="15" t="s">
        <v>573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383</v>
      </c>
      <c r="C178" s="12" t="s">
        <v>390</v>
      </c>
      <c r="D178" s="15" t="s">
        <v>573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384</v>
      </c>
      <c r="C179" s="12" t="s">
        <v>390</v>
      </c>
      <c r="D179" s="15" t="s">
        <v>573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385</v>
      </c>
      <c r="C180" s="12" t="s">
        <v>390</v>
      </c>
      <c r="D180" s="15" t="s">
        <v>573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386</v>
      </c>
      <c r="C181" s="12" t="s">
        <v>390</v>
      </c>
      <c r="D181" s="15" t="s">
        <v>573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387</v>
      </c>
      <c r="C182" s="12" t="s">
        <v>390</v>
      </c>
      <c r="D182" s="15" t="s">
        <v>573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389</v>
      </c>
      <c r="C183" s="12" t="s">
        <v>390</v>
      </c>
      <c r="D183" s="15" t="s">
        <v>573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572</v>
      </c>
      <c r="C184" s="12" t="s">
        <v>393</v>
      </c>
      <c r="D184" s="15" t="s">
        <v>573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392</v>
      </c>
      <c r="C185" s="12" t="s">
        <v>393</v>
      </c>
      <c r="D185" s="15" t="s">
        <v>573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360</v>
      </c>
      <c r="C186" s="12" t="s">
        <v>395</v>
      </c>
      <c r="D186" s="15" t="s">
        <v>396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397</v>
      </c>
      <c r="C187" s="12" t="s">
        <v>390</v>
      </c>
      <c r="D187" s="15" t="s">
        <v>403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401</v>
      </c>
      <c r="C188" s="12" t="s">
        <v>402</v>
      </c>
      <c r="D188" s="15" t="s">
        <v>865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404</v>
      </c>
      <c r="C189" s="12" t="s">
        <v>402</v>
      </c>
      <c r="D189" s="15" t="s">
        <v>865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405</v>
      </c>
      <c r="C190" s="12" t="s">
        <v>402</v>
      </c>
      <c r="D190" s="15" t="s">
        <v>865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406</v>
      </c>
      <c r="C191" s="12" t="s">
        <v>407</v>
      </c>
      <c r="D191" s="15" t="s">
        <v>398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409</v>
      </c>
      <c r="C192" s="12" t="s">
        <v>407</v>
      </c>
      <c r="D192" s="15" t="s">
        <v>398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120</v>
      </c>
      <c r="C193" s="28" t="s">
        <v>866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411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1076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469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470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471</v>
      </c>
      <c r="B4" s="542" t="s">
        <v>472</v>
      </c>
      <c r="C4" s="543" t="s">
        <v>606</v>
      </c>
      <c r="D4" s="542" t="s">
        <v>473</v>
      </c>
      <c r="E4" s="543" t="s">
        <v>474</v>
      </c>
      <c r="F4" s="543" t="s">
        <v>476</v>
      </c>
      <c r="G4" s="543" t="s">
        <v>477</v>
      </c>
      <c r="H4" s="543" t="s">
        <v>478</v>
      </c>
      <c r="I4" s="543" t="s">
        <v>607</v>
      </c>
      <c r="J4" s="543"/>
      <c r="K4" s="543"/>
      <c r="L4" s="543"/>
      <c r="M4" s="543" t="s">
        <v>608</v>
      </c>
      <c r="N4" s="543" t="s">
        <v>479</v>
      </c>
      <c r="O4" s="543" t="s">
        <v>480</v>
      </c>
      <c r="P4" s="543" t="s">
        <v>609</v>
      </c>
      <c r="Q4" s="543" t="s">
        <v>610</v>
      </c>
      <c r="R4" s="543" t="s">
        <v>611</v>
      </c>
      <c r="S4" s="543" t="s">
        <v>612</v>
      </c>
      <c r="T4" s="543" t="s">
        <v>613</v>
      </c>
      <c r="U4" s="543" t="s">
        <v>614</v>
      </c>
      <c r="V4" s="543" t="s">
        <v>481</v>
      </c>
      <c r="W4" s="543"/>
      <c r="X4" s="543" t="s">
        <v>482</v>
      </c>
      <c r="Y4" s="543" t="s">
        <v>615</v>
      </c>
      <c r="Z4" s="543" t="s">
        <v>616</v>
      </c>
      <c r="AA4" s="551"/>
      <c r="AB4" s="551" t="s">
        <v>808</v>
      </c>
    </row>
    <row r="5" ht="17.5" spans="1:31">
      <c r="A5" s="544">
        <v>1</v>
      </c>
      <c r="B5" s="8" t="s">
        <v>22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23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26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29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31</v>
      </c>
      <c r="C9" s="465">
        <v>631465.02475</v>
      </c>
      <c r="D9" s="466">
        <v>12</v>
      </c>
      <c r="E9" s="467">
        <f t="shared" si="14"/>
        <v>7577580.297</v>
      </c>
      <c r="F9" s="467">
        <f>'[6]JANUARY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301</v>
      </c>
      <c r="C10" s="465">
        <v>691465.02475</v>
      </c>
      <c r="D10" s="466">
        <v>12</v>
      </c>
      <c r="E10" s="467">
        <f t="shared" si="14"/>
        <v>8297580.297</v>
      </c>
      <c r="F10" s="467">
        <f>'[6]JANUARY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833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33</v>
      </c>
      <c r="C12" s="465">
        <v>497553.5025</v>
      </c>
      <c r="D12" s="466">
        <v>12</v>
      </c>
      <c r="E12" s="467">
        <f t="shared" si="14"/>
        <v>5970642.03</v>
      </c>
      <c r="F12" s="467">
        <f>'[6]JANUARY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36</v>
      </c>
      <c r="C13" s="465">
        <v>604729.222</v>
      </c>
      <c r="D13" s="466">
        <v>12</v>
      </c>
      <c r="E13" s="467">
        <f t="shared" si="14"/>
        <v>7256750.664</v>
      </c>
      <c r="F13" s="467">
        <f>'[6]JANUARY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39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42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44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47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50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53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64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67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70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1077</v>
      </c>
      <c r="AD22" s="213"/>
      <c r="AE22" s="213"/>
    </row>
    <row r="23" ht="18" spans="1:31">
      <c r="A23" s="544">
        <v>20</v>
      </c>
      <c r="B23" s="14" t="s">
        <v>72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485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78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81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83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86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89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91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95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103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121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122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127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129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137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837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839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138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141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143</v>
      </c>
      <c r="C44" s="467">
        <v>527553.5025</v>
      </c>
      <c r="D44" s="466">
        <v>12</v>
      </c>
      <c r="E44" s="467">
        <f t="shared" si="35"/>
        <v>6330642.03</v>
      </c>
      <c r="F44" s="470">
        <f>'[6]JANUARY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144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145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149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153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840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154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156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841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159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162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842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844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165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846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847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169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171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172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173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177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181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848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183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187</v>
      </c>
      <c r="C73" s="467">
        <v>405272.06375</v>
      </c>
      <c r="D73" s="466">
        <v>12</v>
      </c>
      <c r="E73" s="467">
        <f t="shared" si="53"/>
        <v>4863264.765</v>
      </c>
      <c r="F73" s="467">
        <f>'[6]JANUARY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194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198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200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120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202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937</v>
      </c>
      <c r="AC79" s="213"/>
      <c r="AD79" s="213"/>
      <c r="AE79" s="213"/>
    </row>
    <row r="80" ht="18" spans="1:31">
      <c r="A80" s="544">
        <v>68</v>
      </c>
      <c r="B80" s="11" t="s">
        <v>205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205</v>
      </c>
      <c r="AD80" s="213"/>
      <c r="AE80" s="213"/>
    </row>
    <row r="81" s="537" customFormat="1" ht="18" spans="1:31">
      <c r="A81" s="548">
        <v>69</v>
      </c>
      <c r="B81" s="11" t="s">
        <v>203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'[6]JANUARY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203</v>
      </c>
      <c r="AD81" s="556"/>
      <c r="AE81" s="556"/>
    </row>
    <row r="82" s="537" customFormat="1" ht="36" spans="1:31">
      <c r="A82" s="548">
        <v>70</v>
      </c>
      <c r="B82" s="11" t="s">
        <v>208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208</v>
      </c>
      <c r="AD82" s="556"/>
      <c r="AE82" s="556"/>
    </row>
    <row r="83" ht="18" spans="1:31">
      <c r="A83" s="544">
        <v>71</v>
      </c>
      <c r="B83" s="11" t="s">
        <v>209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209</v>
      </c>
      <c r="AD83" s="213"/>
      <c r="AE83" s="213"/>
    </row>
    <row r="84" ht="18" spans="1:31">
      <c r="A84" s="544">
        <v>72</v>
      </c>
      <c r="B84" s="11" t="s">
        <v>210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210</v>
      </c>
      <c r="AD84" s="213"/>
      <c r="AE84" s="213"/>
    </row>
    <row r="85" s="537" customFormat="1" ht="36" spans="1:31">
      <c r="A85" s="548">
        <v>73</v>
      </c>
      <c r="B85" s="11" t="s">
        <v>211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211</v>
      </c>
      <c r="AD85" s="556"/>
      <c r="AE85" s="556"/>
    </row>
    <row r="86" ht="18" spans="1:31">
      <c r="A86" s="544">
        <v>74</v>
      </c>
      <c r="B86" s="11" t="s">
        <v>213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213</v>
      </c>
      <c r="AD86" s="213"/>
      <c r="AE86" s="213"/>
    </row>
    <row r="87" ht="24" customHeight="1" spans="1:31">
      <c r="A87" s="544">
        <v>75</v>
      </c>
      <c r="B87" s="11" t="s">
        <v>214</v>
      </c>
      <c r="C87" s="467">
        <v>346713.03325</v>
      </c>
      <c r="D87" s="466">
        <v>12</v>
      </c>
      <c r="E87" s="467">
        <f t="shared" si="82"/>
        <v>4160556.399</v>
      </c>
      <c r="F87" s="467">
        <f>'[6]JANUARY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214</v>
      </c>
      <c r="AD87" s="213"/>
      <c r="AE87" s="213"/>
    </row>
    <row r="88" ht="18" spans="1:31">
      <c r="A88" s="544">
        <v>76</v>
      </c>
      <c r="B88" s="11" t="s">
        <v>217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217</v>
      </c>
      <c r="AD88" s="213"/>
      <c r="AE88" s="213"/>
    </row>
    <row r="89" ht="18" spans="1:31">
      <c r="A89" s="544"/>
      <c r="B89" s="11" t="s">
        <v>221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221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224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225</v>
      </c>
      <c r="C93" s="467">
        <v>541465.02475</v>
      </c>
      <c r="D93" s="466">
        <v>12</v>
      </c>
      <c r="E93" s="467">
        <f>C93*D93</f>
        <v>6497580.297</v>
      </c>
      <c r="F93" s="467">
        <f>'[6]JANUARY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225</v>
      </c>
      <c r="AD93" s="556"/>
      <c r="AE93" s="556"/>
    </row>
    <row r="94" ht="18" spans="1:31">
      <c r="A94" s="544">
        <v>80</v>
      </c>
      <c r="B94" s="11" t="s">
        <v>227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227</v>
      </c>
      <c r="AD94" s="213"/>
      <c r="AE94" s="213"/>
    </row>
    <row r="95" ht="18" spans="1:31">
      <c r="A95" s="544">
        <v>81</v>
      </c>
      <c r="B95" s="11" t="s">
        <v>233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233</v>
      </c>
      <c r="AD95" s="213"/>
      <c r="AE95" s="213"/>
    </row>
    <row r="96" ht="18" spans="1:31">
      <c r="A96" s="544"/>
      <c r="B96" s="11" t="s">
        <v>234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234</v>
      </c>
      <c r="AD96" s="213"/>
      <c r="AE96" s="213"/>
    </row>
    <row r="97" ht="17.5" spans="1:31">
      <c r="A97" s="544"/>
      <c r="B97" s="20" t="s">
        <v>120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237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808</v>
      </c>
      <c r="AC99" s="213"/>
      <c r="AD99" s="213"/>
      <c r="AE99" s="213"/>
    </row>
    <row r="100" ht="18" spans="1:31">
      <c r="A100" s="544">
        <v>85</v>
      </c>
      <c r="B100" s="11" t="s">
        <v>556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556</v>
      </c>
      <c r="AD100" s="213"/>
      <c r="AE100" s="213"/>
    </row>
    <row r="101" ht="18" spans="1:31">
      <c r="A101" s="544">
        <v>86</v>
      </c>
      <c r="B101" s="11" t="s">
        <v>240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'[6]JANUARY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240</v>
      </c>
      <c r="AD101" s="213"/>
      <c r="AE101" s="213"/>
    </row>
    <row r="102" ht="18" spans="1:31">
      <c r="A102" s="544">
        <v>87</v>
      </c>
      <c r="B102" s="11" t="s">
        <v>242</v>
      </c>
      <c r="C102" s="467">
        <v>418096.016025</v>
      </c>
      <c r="D102" s="466">
        <v>12</v>
      </c>
      <c r="E102" s="467">
        <f t="shared" si="101"/>
        <v>5017152.1923</v>
      </c>
      <c r="F102" s="467">
        <f>'[6]JANUARY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242</v>
      </c>
      <c r="AD102" s="213"/>
      <c r="AE102" s="213"/>
    </row>
    <row r="103" ht="18" spans="1:31">
      <c r="A103" s="544">
        <v>88</v>
      </c>
      <c r="B103" s="11" t="s">
        <v>244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244</v>
      </c>
      <c r="AD103" s="213"/>
      <c r="AE103" s="213"/>
    </row>
    <row r="104" ht="18" spans="1:31">
      <c r="A104" s="544">
        <v>89</v>
      </c>
      <c r="B104" s="11" t="s">
        <v>247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247</v>
      </c>
      <c r="AD104" s="213"/>
      <c r="AE104" s="213"/>
    </row>
    <row r="105" ht="36" spans="1:31">
      <c r="A105" s="544"/>
      <c r="B105" s="18" t="s">
        <v>250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250</v>
      </c>
      <c r="AD105" s="213"/>
      <c r="AE105" s="213"/>
    </row>
    <row r="106" ht="18" spans="1:31">
      <c r="A106" s="544"/>
      <c r="B106" s="18" t="s">
        <v>251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251</v>
      </c>
      <c r="AD106" s="213"/>
      <c r="AE106" s="213"/>
    </row>
    <row r="107" ht="17.5" spans="1:31">
      <c r="A107" s="544"/>
      <c r="B107" s="20" t="s">
        <v>120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255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163</v>
      </c>
      <c r="C110" s="467">
        <v>516137.05</v>
      </c>
      <c r="D110" s="466">
        <v>12</v>
      </c>
      <c r="E110" s="467">
        <f>C110*D110</f>
        <v>6193644.6</v>
      </c>
      <c r="F110" s="467">
        <f>'[6]JANUARY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257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190</v>
      </c>
      <c r="C112" s="473">
        <v>286619.99875</v>
      </c>
      <c r="D112" s="466">
        <v>12</v>
      </c>
      <c r="E112" s="467">
        <f t="shared" si="104"/>
        <v>3439439.985</v>
      </c>
      <c r="F112" s="467">
        <f>'[6]JANUARY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279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280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282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284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855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287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288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290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293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295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297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120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300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856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858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304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306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308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310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229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313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314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316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318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61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320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322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323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325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326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328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330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332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334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335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337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345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347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349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351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352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361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364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570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365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366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367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369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370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371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372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359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373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376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377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379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382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383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384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385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386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387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389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572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392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360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397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401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404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405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406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409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1078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1079</v>
      </c>
      <c r="AB190" s="563">
        <f>AB81+AB82+AB83+AB84+AB86+AB88+AB89+AB94+AB95+AB96+AB102+AB103+AB104+AB105+AB106</f>
        <v>-351613.557404481</v>
      </c>
    </row>
    <row r="191" ht="14" spans="24:28">
      <c r="X191" s="294" t="s">
        <v>1080</v>
      </c>
      <c r="AB191" s="564">
        <f>AB87+AB85+AB74+AB61+AB21+AB19+AB18+AB16+AB15</f>
        <v>126852.23813</v>
      </c>
    </row>
    <row r="192" ht="14" spans="24:28">
      <c r="X192" s="294" t="s">
        <v>1081</v>
      </c>
      <c r="AB192" s="565">
        <f>SUM(AB190:AB191)</f>
        <v>-224761.319274481</v>
      </c>
    </row>
    <row r="193" ht="14" spans="24:28">
      <c r="X193" s="294" t="s">
        <v>1082</v>
      </c>
      <c r="AB193" s="566">
        <f>-6517.49</f>
        <v>-6517.49</v>
      </c>
    </row>
    <row r="194" ht="24.75" customHeight="1" spans="24:28">
      <c r="X194" s="294" t="s">
        <v>604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21</v>
      </c>
      <c r="B2" s="528" t="s">
        <v>472</v>
      </c>
      <c r="C2" s="529" t="s">
        <v>1083</v>
      </c>
      <c r="D2" s="529" t="s">
        <v>1084</v>
      </c>
      <c r="E2" s="529" t="s">
        <v>1085</v>
      </c>
      <c r="F2" s="530"/>
    </row>
    <row r="3" ht="18.5" spans="1:6">
      <c r="A3" s="528"/>
      <c r="B3" s="528"/>
      <c r="C3" s="529" t="s">
        <v>20</v>
      </c>
      <c r="D3" s="529" t="s">
        <v>20</v>
      </c>
      <c r="E3" s="529" t="s">
        <v>20</v>
      </c>
      <c r="F3" s="530"/>
    </row>
    <row r="4" ht="18.5" spans="1:6">
      <c r="A4" s="531">
        <v>1</v>
      </c>
      <c r="B4" s="532" t="s">
        <v>203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208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209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210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213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217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221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227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233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234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242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244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247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250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251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120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1086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756</v>
      </c>
      <c r="F4" s="218" t="s">
        <v>1066</v>
      </c>
      <c r="G4" s="218" t="s">
        <v>1067</v>
      </c>
      <c r="H4" s="218" t="s">
        <v>1068</v>
      </c>
      <c r="I4" s="218" t="s">
        <v>8</v>
      </c>
      <c r="J4" s="505" t="s">
        <v>973</v>
      </c>
      <c r="K4" s="505" t="s">
        <v>1069</v>
      </c>
      <c r="L4" s="505" t="s">
        <v>1070</v>
      </c>
      <c r="M4" s="506" t="s">
        <v>1071</v>
      </c>
      <c r="N4" s="506" t="s">
        <v>1072</v>
      </c>
      <c r="O4" s="506" t="s">
        <v>1073</v>
      </c>
    </row>
    <row r="5" ht="17.25" customHeight="1" spans="3:15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507"/>
      <c r="K5" s="507"/>
      <c r="L5" s="507"/>
      <c r="M5" s="508" t="s">
        <v>20</v>
      </c>
      <c r="N5" s="508"/>
      <c r="O5" s="508"/>
    </row>
    <row r="6" ht="20.1" customHeight="1" spans="1:15">
      <c r="A6" s="9" t="s">
        <v>21</v>
      </c>
      <c r="B6" s="8" t="s">
        <v>22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23</v>
      </c>
      <c r="C7" s="12" t="s">
        <v>24</v>
      </c>
      <c r="D7" s="12" t="s">
        <v>25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26</v>
      </c>
      <c r="C8" s="12" t="s">
        <v>27</v>
      </c>
      <c r="D8" s="10" t="s">
        <v>28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29</v>
      </c>
      <c r="C9" s="4" t="s">
        <v>30</v>
      </c>
      <c r="D9" s="10" t="s">
        <v>28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31</v>
      </c>
      <c r="C10" s="17" t="s">
        <v>32</v>
      </c>
      <c r="D10" s="10" t="s">
        <v>28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301</v>
      </c>
      <c r="C11" s="4" t="s">
        <v>1057</v>
      </c>
      <c r="D11" s="10" t="s">
        <v>28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833</v>
      </c>
      <c r="C12" s="10" t="s">
        <v>834</v>
      </c>
      <c r="D12" s="10" t="s">
        <v>28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33</v>
      </c>
      <c r="C13" s="12" t="s">
        <v>835</v>
      </c>
      <c r="D13" s="15" t="s">
        <v>38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36</v>
      </c>
      <c r="C14" s="4" t="s">
        <v>37</v>
      </c>
      <c r="D14" s="10" t="s">
        <v>41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39</v>
      </c>
      <c r="C15" s="4" t="s">
        <v>547</v>
      </c>
      <c r="D15" s="15" t="s">
        <v>189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42</v>
      </c>
      <c r="C16" s="17" t="s">
        <v>51</v>
      </c>
      <c r="D16" s="15" t="s">
        <v>46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44</v>
      </c>
      <c r="C17" s="4" t="s">
        <v>45</v>
      </c>
      <c r="D17" s="10" t="s">
        <v>52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47</v>
      </c>
      <c r="C18" s="4" t="s">
        <v>836</v>
      </c>
      <c r="D18" s="10" t="s">
        <v>55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50</v>
      </c>
      <c r="C19" s="12" t="s">
        <v>60</v>
      </c>
      <c r="D19" s="15" t="s">
        <v>502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53</v>
      </c>
      <c r="C20" s="4" t="s">
        <v>1058</v>
      </c>
      <c r="D20" s="15" t="s">
        <v>58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64</v>
      </c>
      <c r="C21" s="12" t="s">
        <v>176</v>
      </c>
      <c r="D21" s="15" t="s">
        <v>69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67</v>
      </c>
      <c r="C22" s="17" t="s">
        <v>1059</v>
      </c>
      <c r="D22" s="10" t="s">
        <v>504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70</v>
      </c>
      <c r="C23" s="17" t="s">
        <v>71</v>
      </c>
      <c r="D23" s="15" t="s">
        <v>504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72</v>
      </c>
      <c r="C24" s="17" t="s">
        <v>73</v>
      </c>
      <c r="D24" s="10" t="s">
        <v>80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485</v>
      </c>
      <c r="C25" s="4" t="s">
        <v>94</v>
      </c>
      <c r="D25" s="10" t="s">
        <v>88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78</v>
      </c>
      <c r="C26" s="12" t="s">
        <v>94</v>
      </c>
      <c r="D26" s="15" t="s">
        <v>88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81</v>
      </c>
      <c r="C27" s="17" t="s">
        <v>68</v>
      </c>
      <c r="D27" s="10" t="s">
        <v>88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83</v>
      </c>
      <c r="C28" s="12" t="s">
        <v>84</v>
      </c>
      <c r="D28" s="15" t="s">
        <v>99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86</v>
      </c>
      <c r="C29" s="4" t="s">
        <v>87</v>
      </c>
      <c r="D29" s="10" t="s">
        <v>344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89</v>
      </c>
      <c r="C30" s="4" t="s">
        <v>87</v>
      </c>
      <c r="D30" s="10" t="s">
        <v>344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91</v>
      </c>
      <c r="C31" s="17" t="s">
        <v>550</v>
      </c>
      <c r="D31" s="15" t="s">
        <v>88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95</v>
      </c>
      <c r="C32" s="4" t="s">
        <v>551</v>
      </c>
      <c r="D32" s="10" t="s">
        <v>108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103</v>
      </c>
      <c r="C33" s="12" t="s">
        <v>104</v>
      </c>
      <c r="D33" s="15" t="s">
        <v>111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120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121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122</v>
      </c>
      <c r="C37" s="4" t="s">
        <v>123</v>
      </c>
      <c r="D37" s="10" t="s">
        <v>124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127</v>
      </c>
      <c r="C38" s="4" t="s">
        <v>1060</v>
      </c>
      <c r="D38" s="10" t="s">
        <v>80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129</v>
      </c>
      <c r="C39" s="12" t="s">
        <v>1061</v>
      </c>
      <c r="D39" s="15" t="s">
        <v>74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137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837</v>
      </c>
      <c r="C43" s="4" t="s">
        <v>838</v>
      </c>
      <c r="D43" s="10" t="s">
        <v>124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839</v>
      </c>
      <c r="C44" s="4" t="s">
        <v>43</v>
      </c>
      <c r="D44" s="10" t="s">
        <v>38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138</v>
      </c>
      <c r="C45" s="4" t="s">
        <v>552</v>
      </c>
      <c r="D45" s="10" t="s">
        <v>207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141</v>
      </c>
      <c r="C46" s="4" t="s">
        <v>142</v>
      </c>
      <c r="D46" s="10" t="s">
        <v>38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143</v>
      </c>
      <c r="C47" s="4" t="s">
        <v>142</v>
      </c>
      <c r="D47" s="10" t="s">
        <v>38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144</v>
      </c>
      <c r="C48" s="4" t="s">
        <v>142</v>
      </c>
      <c r="D48" s="10" t="s">
        <v>41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145</v>
      </c>
      <c r="C49" s="4" t="s">
        <v>51</v>
      </c>
      <c r="D49" s="16" t="s">
        <v>46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149</v>
      </c>
      <c r="C50" s="4" t="s">
        <v>150</v>
      </c>
      <c r="D50" s="10" t="s">
        <v>74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153</v>
      </c>
      <c r="C51" s="4" t="s">
        <v>150</v>
      </c>
      <c r="D51" s="10" t="s">
        <v>99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840</v>
      </c>
      <c r="C52" s="4" t="s">
        <v>150</v>
      </c>
      <c r="D52" s="10" t="s">
        <v>99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154</v>
      </c>
      <c r="C53" s="4" t="s">
        <v>150</v>
      </c>
      <c r="D53" s="10" t="s">
        <v>99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120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156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841</v>
      </c>
      <c r="C57" s="12" t="s">
        <v>158</v>
      </c>
      <c r="D57" s="15" t="s">
        <v>124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159</v>
      </c>
      <c r="C58" s="12" t="s">
        <v>160</v>
      </c>
      <c r="D58" s="15" t="s">
        <v>161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120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162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842</v>
      </c>
      <c r="C62" s="17" t="s">
        <v>843</v>
      </c>
      <c r="D62" s="10" t="s">
        <v>124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844</v>
      </c>
      <c r="C63" s="17" t="s">
        <v>845</v>
      </c>
      <c r="D63" s="15" t="s">
        <v>49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165</v>
      </c>
      <c r="C64" s="4" t="s">
        <v>51</v>
      </c>
      <c r="D64" s="10" t="s">
        <v>52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846</v>
      </c>
      <c r="C65" s="17" t="s">
        <v>167</v>
      </c>
      <c r="D65" s="15" t="s">
        <v>502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847</v>
      </c>
      <c r="C66" s="17" t="s">
        <v>51</v>
      </c>
      <c r="D66" s="15" t="s">
        <v>189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169</v>
      </c>
      <c r="C67" s="4" t="s">
        <v>150</v>
      </c>
      <c r="D67" s="10" t="s">
        <v>131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171</v>
      </c>
      <c r="C68" s="17" t="s">
        <v>71</v>
      </c>
      <c r="D68" s="10" t="s">
        <v>131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172</v>
      </c>
      <c r="C69" s="17" t="s">
        <v>71</v>
      </c>
      <c r="D69" s="10" t="s">
        <v>131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173</v>
      </c>
      <c r="C70" s="4" t="s">
        <v>553</v>
      </c>
      <c r="D70" s="10" t="s">
        <v>69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177</v>
      </c>
      <c r="C71" s="4" t="s">
        <v>150</v>
      </c>
      <c r="D71" s="10" t="s">
        <v>74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120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180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181</v>
      </c>
      <c r="C75" s="4" t="s">
        <v>182</v>
      </c>
      <c r="D75" s="10" t="s">
        <v>124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848</v>
      </c>
      <c r="C76" s="4" t="s">
        <v>849</v>
      </c>
      <c r="D76" s="15" t="s">
        <v>850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183</v>
      </c>
      <c r="C77" s="12" t="s">
        <v>851</v>
      </c>
      <c r="D77" s="10" t="s">
        <v>161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187</v>
      </c>
      <c r="C78" s="4" t="s">
        <v>188</v>
      </c>
      <c r="D78" s="15" t="s">
        <v>212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194</v>
      </c>
      <c r="C79" s="4" t="s">
        <v>179</v>
      </c>
      <c r="D79" s="10" t="s">
        <v>77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198</v>
      </c>
      <c r="C80" s="4" t="s">
        <v>179</v>
      </c>
      <c r="D80" s="10" t="s">
        <v>99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200</v>
      </c>
      <c r="C81" s="4" t="s">
        <v>201</v>
      </c>
      <c r="D81" s="10" t="s">
        <v>111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120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202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205</v>
      </c>
      <c r="C85" s="4" t="s">
        <v>142</v>
      </c>
      <c r="D85" s="10" t="s">
        <v>38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203</v>
      </c>
      <c r="C86" s="4" t="s">
        <v>142</v>
      </c>
      <c r="D86" s="10" t="s">
        <v>38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208</v>
      </c>
      <c r="C87" s="4" t="s">
        <v>142</v>
      </c>
      <c r="D87" s="10" t="s">
        <v>41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209</v>
      </c>
      <c r="C88" s="4" t="s">
        <v>852</v>
      </c>
      <c r="D88" s="15" t="s">
        <v>55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210</v>
      </c>
      <c r="C89" s="12" t="s">
        <v>167</v>
      </c>
      <c r="D89" s="15" t="s">
        <v>502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211</v>
      </c>
      <c r="C90" s="12" t="s">
        <v>51</v>
      </c>
      <c r="D90" s="15" t="s">
        <v>501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213</v>
      </c>
      <c r="C91" s="17" t="s">
        <v>71</v>
      </c>
      <c r="D91" s="15" t="s">
        <v>131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214</v>
      </c>
      <c r="C92" s="17" t="s">
        <v>167</v>
      </c>
      <c r="D92" s="15" t="s">
        <v>66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217</v>
      </c>
      <c r="C93" s="4" t="s">
        <v>218</v>
      </c>
      <c r="D93" s="10" t="s">
        <v>74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221</v>
      </c>
      <c r="C94" s="17" t="s">
        <v>222</v>
      </c>
      <c r="D94" s="15" t="s">
        <v>108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120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224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225</v>
      </c>
      <c r="C98" s="4" t="s">
        <v>554</v>
      </c>
      <c r="D98" s="16" t="s">
        <v>35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227</v>
      </c>
      <c r="C99" s="4" t="s">
        <v>228</v>
      </c>
      <c r="D99" s="15" t="s">
        <v>212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233</v>
      </c>
      <c r="C100" s="4" t="s">
        <v>555</v>
      </c>
      <c r="D100" s="15" t="s">
        <v>69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234</v>
      </c>
      <c r="C101" s="4" t="s">
        <v>197</v>
      </c>
      <c r="D101" s="15" t="s">
        <v>74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120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237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556</v>
      </c>
      <c r="C105" s="12" t="s">
        <v>239</v>
      </c>
      <c r="D105" s="15" t="s">
        <v>124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240</v>
      </c>
      <c r="C106" s="4" t="s">
        <v>241</v>
      </c>
      <c r="D106" s="16" t="s">
        <v>35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242</v>
      </c>
      <c r="C107" s="4" t="s">
        <v>557</v>
      </c>
      <c r="D107" s="10" t="s">
        <v>55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244</v>
      </c>
      <c r="C108" s="4" t="s">
        <v>557</v>
      </c>
      <c r="D108" s="10" t="s">
        <v>55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247</v>
      </c>
      <c r="C109" s="4" t="s">
        <v>248</v>
      </c>
      <c r="D109" s="15" t="s">
        <v>853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250</v>
      </c>
      <c r="C110" s="4" t="s">
        <v>248</v>
      </c>
      <c r="D110" s="10" t="s">
        <v>223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251</v>
      </c>
      <c r="C111" s="4" t="s">
        <v>248</v>
      </c>
      <c r="D111" s="15" t="s">
        <v>108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120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255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163</v>
      </c>
      <c r="C115" s="4" t="s">
        <v>142</v>
      </c>
      <c r="D115" s="10" t="s">
        <v>49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257</v>
      </c>
      <c r="C116" s="4" t="s">
        <v>258</v>
      </c>
      <c r="D116" s="15" t="s">
        <v>69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190</v>
      </c>
      <c r="C117" s="12" t="s">
        <v>854</v>
      </c>
      <c r="D117" s="15" t="s">
        <v>170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120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279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280</v>
      </c>
      <c r="C121" s="12" t="s">
        <v>281</v>
      </c>
      <c r="D121" s="15" t="s">
        <v>124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282</v>
      </c>
      <c r="C122" s="12" t="s">
        <v>558</v>
      </c>
      <c r="D122" s="15" t="s">
        <v>207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284</v>
      </c>
      <c r="C123" s="12" t="s">
        <v>559</v>
      </c>
      <c r="D123" s="15" t="s">
        <v>38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855</v>
      </c>
      <c r="C124" s="12" t="s">
        <v>559</v>
      </c>
      <c r="D124" s="15" t="s">
        <v>41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287</v>
      </c>
      <c r="C125" s="12" t="s">
        <v>289</v>
      </c>
      <c r="D125" s="15" t="s">
        <v>46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288</v>
      </c>
      <c r="C126" s="12" t="s">
        <v>560</v>
      </c>
      <c r="D126" s="15" t="s">
        <v>52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290</v>
      </c>
      <c r="C127" s="12" t="s">
        <v>289</v>
      </c>
      <c r="D127" s="15" t="s">
        <v>212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293</v>
      </c>
      <c r="C128" s="12" t="s">
        <v>561</v>
      </c>
      <c r="D128" s="10" t="s">
        <v>88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295</v>
      </c>
      <c r="C129" s="12" t="s">
        <v>296</v>
      </c>
      <c r="D129" s="15" t="s">
        <v>111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297</v>
      </c>
      <c r="C130" s="12" t="s">
        <v>292</v>
      </c>
      <c r="D130" s="15" t="s">
        <v>111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120</v>
      </c>
      <c r="C131" s="26" t="s">
        <v>562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300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856</v>
      </c>
      <c r="C134" s="12" t="s">
        <v>857</v>
      </c>
      <c r="D134" s="15" t="s">
        <v>124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858</v>
      </c>
      <c r="C135" s="12" t="s">
        <v>859</v>
      </c>
      <c r="D135" s="15" t="s">
        <v>35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304</v>
      </c>
      <c r="C136" s="4" t="s">
        <v>305</v>
      </c>
      <c r="D136" s="16" t="s">
        <v>35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306</v>
      </c>
      <c r="C137" s="12" t="s">
        <v>860</v>
      </c>
      <c r="D137" s="15" t="s">
        <v>189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308</v>
      </c>
      <c r="C138" s="4" t="s">
        <v>312</v>
      </c>
      <c r="D138" s="15" t="s">
        <v>189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310</v>
      </c>
      <c r="C139" s="4" t="s">
        <v>312</v>
      </c>
      <c r="D139" s="15" t="s">
        <v>189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229</v>
      </c>
      <c r="C140" s="12" t="s">
        <v>861</v>
      </c>
      <c r="D140" s="15" t="s">
        <v>170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313</v>
      </c>
      <c r="C141" s="12" t="s">
        <v>861</v>
      </c>
      <c r="D141" s="15" t="s">
        <v>170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314</v>
      </c>
      <c r="C142" s="4" t="s">
        <v>862</v>
      </c>
      <c r="D142" s="15" t="s">
        <v>170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316</v>
      </c>
      <c r="C143" s="12" t="s">
        <v>564</v>
      </c>
      <c r="D143" s="15" t="s">
        <v>69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318</v>
      </c>
      <c r="C144" s="12" t="s">
        <v>319</v>
      </c>
      <c r="D144" s="15" t="s">
        <v>131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61</v>
      </c>
      <c r="C145" s="12" t="s">
        <v>863</v>
      </c>
      <c r="D145" s="15" t="s">
        <v>170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320</v>
      </c>
      <c r="C146" s="4" t="s">
        <v>321</v>
      </c>
      <c r="D146" s="15" t="s">
        <v>504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322</v>
      </c>
      <c r="C147" s="4" t="s">
        <v>864</v>
      </c>
      <c r="D147" s="15" t="s">
        <v>77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323</v>
      </c>
      <c r="C148" s="4" t="s">
        <v>864</v>
      </c>
      <c r="D148" s="15" t="s">
        <v>151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325</v>
      </c>
      <c r="C149" s="4" t="s">
        <v>864</v>
      </c>
      <c r="D149" s="15" t="s">
        <v>151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326</v>
      </c>
      <c r="C150" s="12" t="s">
        <v>327</v>
      </c>
      <c r="D150" s="15" t="s">
        <v>74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328</v>
      </c>
      <c r="C151" s="12" t="s">
        <v>329</v>
      </c>
      <c r="D151" s="10" t="s">
        <v>99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330</v>
      </c>
      <c r="C152" s="12" t="s">
        <v>565</v>
      </c>
      <c r="D152" s="15" t="s">
        <v>77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332</v>
      </c>
      <c r="C153" s="12" t="s">
        <v>566</v>
      </c>
      <c r="D153" s="15" t="s">
        <v>88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334</v>
      </c>
      <c r="C154" s="12" t="s">
        <v>567</v>
      </c>
      <c r="D154" s="15" t="s">
        <v>77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335</v>
      </c>
      <c r="C155" s="12" t="s">
        <v>568</v>
      </c>
      <c r="D155" s="15" t="s">
        <v>88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337</v>
      </c>
      <c r="C156" s="12" t="s">
        <v>338</v>
      </c>
      <c r="D156" s="15" t="s">
        <v>344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345</v>
      </c>
      <c r="C157" s="12" t="s">
        <v>346</v>
      </c>
      <c r="D157" s="15" t="s">
        <v>111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347</v>
      </c>
      <c r="C158" s="12" t="s">
        <v>348</v>
      </c>
      <c r="D158" s="15" t="s">
        <v>111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349</v>
      </c>
      <c r="C159" s="12" t="s">
        <v>350</v>
      </c>
      <c r="D159" s="15" t="s">
        <v>111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351</v>
      </c>
      <c r="C160" s="12" t="s">
        <v>569</v>
      </c>
      <c r="D160" s="15" t="s">
        <v>108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352</v>
      </c>
      <c r="C161" s="12" t="s">
        <v>348</v>
      </c>
      <c r="D161" s="15" t="s">
        <v>111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361</v>
      </c>
      <c r="C162" s="12" t="s">
        <v>362</v>
      </c>
      <c r="D162" s="15" t="s">
        <v>388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364</v>
      </c>
      <c r="C163" s="12" t="s">
        <v>362</v>
      </c>
      <c r="D163" s="15" t="s">
        <v>388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570</v>
      </c>
      <c r="C164" s="12" t="s">
        <v>362</v>
      </c>
      <c r="D164" s="15" t="s">
        <v>388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365</v>
      </c>
      <c r="C165" s="12" t="s">
        <v>362</v>
      </c>
      <c r="D165" s="15" t="s">
        <v>388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366</v>
      </c>
      <c r="C166" s="12" t="s">
        <v>362</v>
      </c>
      <c r="D166" s="15" t="s">
        <v>388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367</v>
      </c>
      <c r="C167" s="12" t="s">
        <v>362</v>
      </c>
      <c r="D167" s="15" t="s">
        <v>381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369</v>
      </c>
      <c r="C168" s="12" t="s">
        <v>362</v>
      </c>
      <c r="D168" s="15" t="s">
        <v>381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370</v>
      </c>
      <c r="C169" s="12" t="s">
        <v>362</v>
      </c>
      <c r="D169" s="15" t="s">
        <v>381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371</v>
      </c>
      <c r="C170" s="12" t="s">
        <v>362</v>
      </c>
      <c r="D170" s="15" t="s">
        <v>381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372</v>
      </c>
      <c r="C171" s="12" t="s">
        <v>362</v>
      </c>
      <c r="D171" s="15" t="s">
        <v>381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359</v>
      </c>
      <c r="C172" s="12" t="s">
        <v>362</v>
      </c>
      <c r="D172" s="15" t="s">
        <v>381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373</v>
      </c>
      <c r="C173" s="12" t="s">
        <v>374</v>
      </c>
      <c r="D173" s="15" t="s">
        <v>511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376</v>
      </c>
      <c r="C174" s="12" t="s">
        <v>374</v>
      </c>
      <c r="D174" s="15" t="s">
        <v>511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377</v>
      </c>
      <c r="C175" s="12" t="s">
        <v>374</v>
      </c>
      <c r="D175" s="15" t="s">
        <v>510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379</v>
      </c>
      <c r="C176" s="12" t="s">
        <v>393</v>
      </c>
      <c r="D176" s="15" t="s">
        <v>512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382</v>
      </c>
      <c r="C177" s="12" t="s">
        <v>390</v>
      </c>
      <c r="D177" s="15" t="s">
        <v>573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383</v>
      </c>
      <c r="C178" s="12" t="s">
        <v>390</v>
      </c>
      <c r="D178" s="15" t="s">
        <v>573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384</v>
      </c>
      <c r="C179" s="12" t="s">
        <v>390</v>
      </c>
      <c r="D179" s="15" t="s">
        <v>573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385</v>
      </c>
      <c r="C180" s="12" t="s">
        <v>390</v>
      </c>
      <c r="D180" s="15" t="s">
        <v>573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386</v>
      </c>
      <c r="C181" s="12" t="s">
        <v>390</v>
      </c>
      <c r="D181" s="15" t="s">
        <v>573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387</v>
      </c>
      <c r="C182" s="12" t="s">
        <v>390</v>
      </c>
      <c r="D182" s="15" t="s">
        <v>573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389</v>
      </c>
      <c r="C183" s="12" t="s">
        <v>390</v>
      </c>
      <c r="D183" s="15" t="s">
        <v>573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572</v>
      </c>
      <c r="C184" s="12" t="s">
        <v>393</v>
      </c>
      <c r="D184" s="15" t="s">
        <v>573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392</v>
      </c>
      <c r="C185" s="12" t="s">
        <v>393</v>
      </c>
      <c r="D185" s="15" t="s">
        <v>573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360</v>
      </c>
      <c r="C186" s="12" t="s">
        <v>395</v>
      </c>
      <c r="D186" s="15" t="s">
        <v>396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397</v>
      </c>
      <c r="C187" s="12" t="s">
        <v>390</v>
      </c>
      <c r="D187" s="15" t="s">
        <v>403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401</v>
      </c>
      <c r="C188" s="12" t="s">
        <v>402</v>
      </c>
      <c r="D188" s="15" t="s">
        <v>865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404</v>
      </c>
      <c r="C189" s="12" t="s">
        <v>402</v>
      </c>
      <c r="D189" s="15" t="s">
        <v>865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405</v>
      </c>
      <c r="C190" s="12" t="s">
        <v>402</v>
      </c>
      <c r="D190" s="15" t="s">
        <v>865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406</v>
      </c>
      <c r="C191" s="12" t="s">
        <v>407</v>
      </c>
      <c r="D191" s="15" t="s">
        <v>398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409</v>
      </c>
      <c r="C192" s="12" t="s">
        <v>407</v>
      </c>
      <c r="D192" s="15" t="s">
        <v>398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120</v>
      </c>
      <c r="C193" s="28" t="s">
        <v>866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411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469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470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471</v>
      </c>
      <c r="B4" s="462" t="s">
        <v>472</v>
      </c>
      <c r="C4" s="463" t="s">
        <v>606</v>
      </c>
      <c r="D4" s="462" t="s">
        <v>473</v>
      </c>
      <c r="E4" s="463" t="s">
        <v>474</v>
      </c>
      <c r="F4" s="463" t="s">
        <v>476</v>
      </c>
      <c r="G4" s="463" t="s">
        <v>477</v>
      </c>
      <c r="H4" s="463" t="s">
        <v>478</v>
      </c>
      <c r="I4" s="463" t="s">
        <v>607</v>
      </c>
      <c r="J4" s="463"/>
      <c r="K4" s="463"/>
      <c r="L4" s="463"/>
      <c r="M4" s="463" t="s">
        <v>608</v>
      </c>
      <c r="N4" s="463" t="s">
        <v>479</v>
      </c>
      <c r="O4" s="463" t="s">
        <v>480</v>
      </c>
      <c r="P4" s="463" t="s">
        <v>609</v>
      </c>
      <c r="Q4" s="463" t="s">
        <v>610</v>
      </c>
      <c r="R4" s="463" t="s">
        <v>611</v>
      </c>
      <c r="S4" s="463" t="s">
        <v>612</v>
      </c>
      <c r="T4" s="463" t="s">
        <v>613</v>
      </c>
      <c r="U4" s="463" t="s">
        <v>614</v>
      </c>
      <c r="V4" s="463" t="s">
        <v>481</v>
      </c>
      <c r="W4" s="463"/>
      <c r="X4" s="463" t="s">
        <v>482</v>
      </c>
      <c r="Y4" s="463" t="s">
        <v>615</v>
      </c>
      <c r="Z4" s="476" t="s">
        <v>616</v>
      </c>
      <c r="AA4" s="477"/>
      <c r="AB4" s="477" t="s">
        <v>808</v>
      </c>
    </row>
    <row r="5" ht="17.5" spans="1:31">
      <c r="A5" s="464">
        <v>1</v>
      </c>
      <c r="B5" s="8" t="s">
        <v>22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23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26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29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31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301</v>
      </c>
      <c r="C10" s="465">
        <v>1002373.16666667</v>
      </c>
      <c r="D10" s="466">
        <v>12</v>
      </c>
      <c r="E10" s="467">
        <f t="shared" si="14"/>
        <v>12028478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833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33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36</v>
      </c>
      <c r="C13" s="465">
        <v>842118.083333333</v>
      </c>
      <c r="D13" s="466">
        <v>12</v>
      </c>
      <c r="E13" s="467">
        <f t="shared" si="14"/>
        <v>10105417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39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42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44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47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64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67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70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72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485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78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81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83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86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89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91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95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103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121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122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127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129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137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837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839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138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141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143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144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145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149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153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840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154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156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157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159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162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842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844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165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846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847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169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171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172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173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177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180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181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848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183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187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194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198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200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120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202</v>
      </c>
      <c r="C79" s="467"/>
      <c r="Z79" s="481"/>
      <c r="AB79" s="296" t="s">
        <v>937</v>
      </c>
      <c r="AC79" s="479"/>
      <c r="AD79" s="479"/>
      <c r="AE79" s="479"/>
    </row>
    <row r="80" ht="18" spans="1:31">
      <c r="A80" s="464">
        <v>68</v>
      </c>
      <c r="B80" s="11" t="s">
        <v>205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205</v>
      </c>
      <c r="AD80" s="479"/>
      <c r="AE80" s="479"/>
    </row>
    <row r="81" ht="18" spans="1:31">
      <c r="A81" s="464">
        <v>69</v>
      </c>
      <c r="B81" s="11" t="s">
        <v>203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203</v>
      </c>
      <c r="AD81" s="479"/>
      <c r="AE81" s="479"/>
    </row>
    <row r="82" ht="36" spans="1:31">
      <c r="A82" s="464">
        <v>70</v>
      </c>
      <c r="B82" s="11" t="s">
        <v>208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208</v>
      </c>
      <c r="AD82" s="479"/>
      <c r="AE82" s="479"/>
    </row>
    <row r="83" ht="18" spans="1:31">
      <c r="A83" s="464">
        <v>71</v>
      </c>
      <c r="B83" s="11" t="s">
        <v>209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209</v>
      </c>
      <c r="AD83" s="479"/>
      <c r="AE83" s="479"/>
    </row>
    <row r="84" ht="18" spans="1:31">
      <c r="A84" s="464">
        <v>72</v>
      </c>
      <c r="B84" s="11" t="s">
        <v>210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210</v>
      </c>
      <c r="AD84" s="479"/>
      <c r="AE84" s="479"/>
    </row>
    <row r="85" ht="36" spans="1:31">
      <c r="A85" s="464">
        <v>73</v>
      </c>
      <c r="B85" s="11" t="s">
        <v>211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211</v>
      </c>
      <c r="AD85" s="479"/>
      <c r="AE85" s="479"/>
    </row>
    <row r="86" ht="18" spans="1:31">
      <c r="A86" s="464">
        <v>74</v>
      </c>
      <c r="B86" s="11" t="s">
        <v>213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213</v>
      </c>
      <c r="AD86" s="479"/>
      <c r="AE86" s="479"/>
    </row>
    <row r="87" ht="24" customHeight="1" spans="1:31">
      <c r="A87" s="464">
        <v>75</v>
      </c>
      <c r="B87" s="11" t="s">
        <v>214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214</v>
      </c>
      <c r="AD87" s="479"/>
      <c r="AE87" s="479"/>
    </row>
    <row r="88" ht="18" spans="1:31">
      <c r="A88" s="464">
        <v>76</v>
      </c>
      <c r="B88" s="11" t="s">
        <v>217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217</v>
      </c>
      <c r="AD88" s="479"/>
      <c r="AE88" s="479"/>
    </row>
    <row r="89" ht="18" spans="1:31">
      <c r="A89" s="464"/>
      <c r="B89" s="11" t="s">
        <v>221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221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224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225</v>
      </c>
      <c r="C93" s="467">
        <v>852373.166666667</v>
      </c>
      <c r="D93" s="466">
        <v>12</v>
      </c>
      <c r="E93" s="467">
        <f>C93*D93</f>
        <v>10228478</v>
      </c>
      <c r="F93" s="467">
        <f>'[6]JANUARY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225</v>
      </c>
      <c r="AD93" s="479"/>
      <c r="AE93" s="479"/>
    </row>
    <row r="94" ht="18" spans="1:31">
      <c r="A94" s="464">
        <v>80</v>
      </c>
      <c r="B94" s="11" t="s">
        <v>227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227</v>
      </c>
      <c r="AD94" s="479"/>
      <c r="AE94" s="479"/>
    </row>
    <row r="95" ht="18" spans="1:31">
      <c r="A95" s="464">
        <v>81</v>
      </c>
      <c r="B95" s="11" t="s">
        <v>233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233</v>
      </c>
      <c r="AD95" s="479"/>
      <c r="AE95" s="479"/>
    </row>
    <row r="96" ht="18" spans="1:31">
      <c r="A96" s="464"/>
      <c r="B96" s="11" t="s">
        <v>234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234</v>
      </c>
      <c r="AD96" s="479"/>
      <c r="AE96" s="479"/>
    </row>
    <row r="97" ht="17.5" spans="1:31">
      <c r="A97" s="464"/>
      <c r="B97" s="20" t="s">
        <v>120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237</v>
      </c>
      <c r="C99" s="467"/>
      <c r="G99" s="296">
        <v>0</v>
      </c>
      <c r="Z99" s="481"/>
      <c r="AB99" s="296" t="s">
        <v>808</v>
      </c>
      <c r="AC99" s="479"/>
      <c r="AD99" s="479"/>
      <c r="AE99" s="479"/>
    </row>
    <row r="100" ht="18" spans="1:31">
      <c r="A100" s="464">
        <v>85</v>
      </c>
      <c r="B100" s="11" t="s">
        <v>556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556</v>
      </c>
      <c r="AD100" s="479"/>
      <c r="AE100" s="479"/>
    </row>
    <row r="101" ht="18" spans="1:31">
      <c r="A101" s="464">
        <v>86</v>
      </c>
      <c r="B101" s="11" t="s">
        <v>240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240</v>
      </c>
      <c r="AD101" s="479"/>
      <c r="AE101" s="479"/>
    </row>
    <row r="102" ht="18" spans="1:31">
      <c r="A102" s="464">
        <v>87</v>
      </c>
      <c r="B102" s="11" t="s">
        <v>242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242</v>
      </c>
      <c r="AD102" s="479"/>
      <c r="AE102" s="479"/>
    </row>
    <row r="103" ht="18" spans="1:31">
      <c r="A103" s="464">
        <v>88</v>
      </c>
      <c r="B103" s="11" t="s">
        <v>244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244</v>
      </c>
      <c r="AD103" s="479"/>
      <c r="AE103" s="479"/>
    </row>
    <row r="104" ht="18" spans="1:31">
      <c r="A104" s="464">
        <v>89</v>
      </c>
      <c r="B104" s="11" t="s">
        <v>247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247</v>
      </c>
      <c r="AD104" s="479"/>
      <c r="AE104" s="479"/>
    </row>
    <row r="105" ht="36" spans="1:31">
      <c r="A105" s="464"/>
      <c r="B105" s="18" t="s">
        <v>250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250</v>
      </c>
      <c r="AD105" s="479"/>
      <c r="AE105" s="479"/>
    </row>
    <row r="106" ht="18" spans="1:31">
      <c r="A106" s="464"/>
      <c r="B106" s="18" t="s">
        <v>251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251</v>
      </c>
      <c r="AD106" s="479"/>
      <c r="AE106" s="479"/>
    </row>
    <row r="107" ht="17.5" spans="1:31">
      <c r="A107" s="464"/>
      <c r="B107" s="20" t="s">
        <v>120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255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163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257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190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279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280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282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284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855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287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288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290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293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295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297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120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300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856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858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304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306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308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310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229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313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314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316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318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61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320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322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323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325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326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328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330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332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334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335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337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345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347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349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351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352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361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364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570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365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366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367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369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370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371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372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359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373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376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377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379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382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383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384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385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386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387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389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572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392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360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397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401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404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405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406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409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938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939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1087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1088</v>
      </c>
      <c r="F5" s="218" t="s">
        <v>16</v>
      </c>
    </row>
    <row r="6" ht="17.25" customHeight="1" spans="3:6">
      <c r="C6" s="8"/>
      <c r="D6" s="8"/>
      <c r="E6" s="82" t="s">
        <v>20</v>
      </c>
      <c r="F6" s="82" t="s">
        <v>20</v>
      </c>
    </row>
    <row r="7" ht="20.1" customHeight="1" spans="1:6">
      <c r="A7" s="9" t="s">
        <v>21</v>
      </c>
      <c r="B7" s="8" t="s">
        <v>22</v>
      </c>
      <c r="C7" s="8"/>
      <c r="D7" s="8"/>
      <c r="E7" s="82"/>
      <c r="F7" s="21"/>
    </row>
    <row r="8" ht="20.1" customHeight="1" spans="1:7">
      <c r="A8" s="10">
        <v>1</v>
      </c>
      <c r="B8" s="11" t="s">
        <v>23</v>
      </c>
      <c r="C8" s="12" t="s">
        <v>24</v>
      </c>
      <c r="D8" s="12" t="s">
        <v>25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26</v>
      </c>
      <c r="C9" s="12" t="s">
        <v>27</v>
      </c>
      <c r="D9" s="10" t="s">
        <v>28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29</v>
      </c>
      <c r="C10" s="4" t="s">
        <v>30</v>
      </c>
      <c r="D10" s="10" t="s">
        <v>28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31</v>
      </c>
      <c r="C11" s="17" t="s">
        <v>32</v>
      </c>
      <c r="D11" s="10" t="s">
        <v>28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301</v>
      </c>
      <c r="C12" s="4" t="s">
        <v>1057</v>
      </c>
      <c r="D12" s="10" t="s">
        <v>28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833</v>
      </c>
      <c r="C13" s="10" t="s">
        <v>834</v>
      </c>
      <c r="D13" s="10" t="s">
        <v>28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33</v>
      </c>
      <c r="C14" s="12" t="s">
        <v>835</v>
      </c>
      <c r="D14" s="15" t="s">
        <v>38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36</v>
      </c>
      <c r="C15" s="4" t="s">
        <v>37</v>
      </c>
      <c r="D15" s="10" t="s">
        <v>41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39</v>
      </c>
      <c r="C16" s="4" t="s">
        <v>547</v>
      </c>
      <c r="D16" s="15" t="s">
        <v>189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42</v>
      </c>
      <c r="C17" s="17" t="s">
        <v>51</v>
      </c>
      <c r="D17" s="15" t="s">
        <v>46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44</v>
      </c>
      <c r="C18" s="4" t="s">
        <v>45</v>
      </c>
      <c r="D18" s="10" t="s">
        <v>52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47</v>
      </c>
      <c r="C19" s="4" t="s">
        <v>836</v>
      </c>
      <c r="D19" s="10" t="s">
        <v>55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50</v>
      </c>
      <c r="C20" s="12" t="s">
        <v>60</v>
      </c>
      <c r="D20" s="15" t="s">
        <v>502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53</v>
      </c>
      <c r="C21" s="4" t="s">
        <v>1058</v>
      </c>
      <c r="D21" s="15" t="s">
        <v>58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64</v>
      </c>
      <c r="C22" s="12" t="s">
        <v>176</v>
      </c>
      <c r="D22" s="15" t="s">
        <v>69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67</v>
      </c>
      <c r="C23" s="17" t="s">
        <v>1059</v>
      </c>
      <c r="D23" s="10" t="s">
        <v>504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70</v>
      </c>
      <c r="C24" s="17" t="s">
        <v>71</v>
      </c>
      <c r="D24" s="15" t="s">
        <v>504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72</v>
      </c>
      <c r="C25" s="17" t="s">
        <v>73</v>
      </c>
      <c r="D25" s="10" t="s">
        <v>80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485</v>
      </c>
      <c r="C26" s="4" t="s">
        <v>94</v>
      </c>
      <c r="D26" s="10" t="s">
        <v>88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78</v>
      </c>
      <c r="C27" s="12" t="s">
        <v>94</v>
      </c>
      <c r="D27" s="15" t="s">
        <v>88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81</v>
      </c>
      <c r="C28" s="17" t="s">
        <v>68</v>
      </c>
      <c r="D28" s="10" t="s">
        <v>88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83</v>
      </c>
      <c r="C29" s="12" t="s">
        <v>84</v>
      </c>
      <c r="D29" s="15" t="s">
        <v>99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86</v>
      </c>
      <c r="C30" s="4" t="s">
        <v>87</v>
      </c>
      <c r="D30" s="10" t="s">
        <v>344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89</v>
      </c>
      <c r="C31" s="4" t="s">
        <v>87</v>
      </c>
      <c r="D31" s="10" t="s">
        <v>344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91</v>
      </c>
      <c r="C32" s="17" t="s">
        <v>550</v>
      </c>
      <c r="D32" s="15" t="s">
        <v>88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95</v>
      </c>
      <c r="C33" s="4" t="s">
        <v>551</v>
      </c>
      <c r="D33" s="10" t="s">
        <v>108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103</v>
      </c>
      <c r="C34" s="12" t="s">
        <v>104</v>
      </c>
      <c r="D34" s="15" t="s">
        <v>111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120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121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122</v>
      </c>
      <c r="C38" s="4" t="s">
        <v>123</v>
      </c>
      <c r="D38" s="10" t="s">
        <v>124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127</v>
      </c>
      <c r="C39" s="4" t="s">
        <v>1060</v>
      </c>
      <c r="D39" s="10" t="s">
        <v>80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129</v>
      </c>
      <c r="C40" s="12" t="s">
        <v>1061</v>
      </c>
      <c r="D40" s="15" t="s">
        <v>74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137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837</v>
      </c>
      <c r="C44" s="4" t="s">
        <v>838</v>
      </c>
      <c r="D44" s="10" t="s">
        <v>124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839</v>
      </c>
      <c r="C45" s="4" t="s">
        <v>43</v>
      </c>
      <c r="D45" s="10" t="s">
        <v>38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138</v>
      </c>
      <c r="C46" s="4" t="s">
        <v>552</v>
      </c>
      <c r="D46" s="10" t="s">
        <v>207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141</v>
      </c>
      <c r="C47" s="4" t="s">
        <v>142</v>
      </c>
      <c r="D47" s="10" t="s">
        <v>38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143</v>
      </c>
      <c r="C48" s="4" t="s">
        <v>142</v>
      </c>
      <c r="D48" s="10" t="s">
        <v>38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144</v>
      </c>
      <c r="C49" s="4" t="s">
        <v>142</v>
      </c>
      <c r="D49" s="10" t="s">
        <v>41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145</v>
      </c>
      <c r="C50" s="4" t="s">
        <v>51</v>
      </c>
      <c r="D50" s="16" t="s">
        <v>46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149</v>
      </c>
      <c r="C51" s="4" t="s">
        <v>150</v>
      </c>
      <c r="D51" s="10" t="s">
        <v>74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153</v>
      </c>
      <c r="C52" s="4" t="s">
        <v>150</v>
      </c>
      <c r="D52" s="10" t="s">
        <v>99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840</v>
      </c>
      <c r="C53" s="4" t="s">
        <v>150</v>
      </c>
      <c r="D53" s="10" t="s">
        <v>99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154</v>
      </c>
      <c r="C54" s="4" t="s">
        <v>150</v>
      </c>
      <c r="D54" s="10" t="s">
        <v>99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120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156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841</v>
      </c>
      <c r="C58" s="12" t="s">
        <v>158</v>
      </c>
      <c r="D58" s="15" t="s">
        <v>124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159</v>
      </c>
      <c r="C59" s="12" t="s">
        <v>160</v>
      </c>
      <c r="D59" s="15" t="s">
        <v>161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120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162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842</v>
      </c>
      <c r="C63" s="17" t="s">
        <v>843</v>
      </c>
      <c r="D63" s="10" t="s">
        <v>124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844</v>
      </c>
      <c r="C64" s="17" t="s">
        <v>845</v>
      </c>
      <c r="D64" s="15" t="s">
        <v>49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165</v>
      </c>
      <c r="C65" s="4" t="s">
        <v>51</v>
      </c>
      <c r="D65" s="10" t="s">
        <v>52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846</v>
      </c>
      <c r="C66" s="17" t="s">
        <v>167</v>
      </c>
      <c r="D66" s="15" t="s">
        <v>502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847</v>
      </c>
      <c r="C67" s="17" t="s">
        <v>51</v>
      </c>
      <c r="D67" s="15" t="s">
        <v>189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169</v>
      </c>
      <c r="C68" s="4" t="s">
        <v>150</v>
      </c>
      <c r="D68" s="10" t="s">
        <v>131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171</v>
      </c>
      <c r="C69" s="17" t="s">
        <v>71</v>
      </c>
      <c r="D69" s="10" t="s">
        <v>131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172</v>
      </c>
      <c r="C70" s="17" t="s">
        <v>71</v>
      </c>
      <c r="D70" s="10" t="s">
        <v>131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173</v>
      </c>
      <c r="C71" s="4" t="s">
        <v>553</v>
      </c>
      <c r="D71" s="10" t="s">
        <v>69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177</v>
      </c>
      <c r="C72" s="4" t="s">
        <v>150</v>
      </c>
      <c r="D72" s="10" t="s">
        <v>74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120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180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181</v>
      </c>
      <c r="C76" s="4" t="s">
        <v>182</v>
      </c>
      <c r="D76" s="10" t="s">
        <v>124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848</v>
      </c>
      <c r="C77" s="4" t="s">
        <v>849</v>
      </c>
      <c r="D77" s="15" t="s">
        <v>850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183</v>
      </c>
      <c r="C78" s="12" t="s">
        <v>851</v>
      </c>
      <c r="D78" s="10" t="s">
        <v>161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187</v>
      </c>
      <c r="C79" s="4" t="s">
        <v>188</v>
      </c>
      <c r="D79" s="15" t="s">
        <v>212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194</v>
      </c>
      <c r="C80" s="4" t="s">
        <v>179</v>
      </c>
      <c r="D80" s="10" t="s">
        <v>77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198</v>
      </c>
      <c r="C81" s="4" t="s">
        <v>179</v>
      </c>
      <c r="D81" s="10" t="s">
        <v>99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200</v>
      </c>
      <c r="C82" s="4" t="s">
        <v>201</v>
      </c>
      <c r="D82" s="10" t="s">
        <v>111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120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202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205</v>
      </c>
      <c r="C86" s="4" t="s">
        <v>142</v>
      </c>
      <c r="D86" s="10" t="s">
        <v>38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203</v>
      </c>
      <c r="C87" s="4" t="s">
        <v>142</v>
      </c>
      <c r="D87" s="10" t="s">
        <v>38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208</v>
      </c>
      <c r="C88" s="4" t="s">
        <v>142</v>
      </c>
      <c r="D88" s="10" t="s">
        <v>41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209</v>
      </c>
      <c r="C89" s="4" t="s">
        <v>852</v>
      </c>
      <c r="D89" s="15" t="s">
        <v>55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210</v>
      </c>
      <c r="C90" s="12" t="s">
        <v>167</v>
      </c>
      <c r="D90" s="15" t="s">
        <v>502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211</v>
      </c>
      <c r="C91" s="12" t="s">
        <v>51</v>
      </c>
      <c r="D91" s="15" t="s">
        <v>501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213</v>
      </c>
      <c r="C92" s="17" t="s">
        <v>71</v>
      </c>
      <c r="D92" s="15" t="s">
        <v>131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214</v>
      </c>
      <c r="C93" s="17" t="s">
        <v>167</v>
      </c>
      <c r="D93" s="15" t="s">
        <v>66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217</v>
      </c>
      <c r="C94" s="4" t="s">
        <v>218</v>
      </c>
      <c r="D94" s="10" t="s">
        <v>74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221</v>
      </c>
      <c r="C95" s="17" t="s">
        <v>222</v>
      </c>
      <c r="D95" s="15" t="s">
        <v>108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120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224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225</v>
      </c>
      <c r="C99" s="4" t="s">
        <v>554</v>
      </c>
      <c r="D99" s="16" t="s">
        <v>35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227</v>
      </c>
      <c r="C100" s="4" t="s">
        <v>228</v>
      </c>
      <c r="D100" s="15" t="s">
        <v>212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233</v>
      </c>
      <c r="C101" s="4" t="s">
        <v>555</v>
      </c>
      <c r="D101" s="15" t="s">
        <v>69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234</v>
      </c>
      <c r="C102" s="4" t="s">
        <v>197</v>
      </c>
      <c r="D102" s="15" t="s">
        <v>74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120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237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556</v>
      </c>
      <c r="C106" s="12" t="s">
        <v>239</v>
      </c>
      <c r="D106" s="15" t="s">
        <v>124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240</v>
      </c>
      <c r="C107" s="4" t="s">
        <v>241</v>
      </c>
      <c r="D107" s="16" t="s">
        <v>35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242</v>
      </c>
      <c r="C108" s="4" t="s">
        <v>557</v>
      </c>
      <c r="D108" s="10" t="s">
        <v>55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244</v>
      </c>
      <c r="C109" s="4" t="s">
        <v>557</v>
      </c>
      <c r="D109" s="10" t="s">
        <v>55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247</v>
      </c>
      <c r="C110" s="4" t="s">
        <v>248</v>
      </c>
      <c r="D110" s="15" t="s">
        <v>853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250</v>
      </c>
      <c r="C111" s="4" t="s">
        <v>248</v>
      </c>
      <c r="D111" s="10" t="s">
        <v>223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251</v>
      </c>
      <c r="C112" s="4" t="s">
        <v>248</v>
      </c>
      <c r="D112" s="15" t="s">
        <v>108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120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255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163</v>
      </c>
      <c r="C116" s="4" t="s">
        <v>142</v>
      </c>
      <c r="D116" s="10" t="s">
        <v>49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257</v>
      </c>
      <c r="C117" s="4" t="s">
        <v>258</v>
      </c>
      <c r="D117" s="15" t="s">
        <v>69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190</v>
      </c>
      <c r="C118" s="12" t="s">
        <v>854</v>
      </c>
      <c r="D118" s="15" t="s">
        <v>170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120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279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280</v>
      </c>
      <c r="C122" s="12" t="s">
        <v>281</v>
      </c>
      <c r="D122" s="15" t="s">
        <v>124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282</v>
      </c>
      <c r="C123" s="12" t="s">
        <v>558</v>
      </c>
      <c r="D123" s="15" t="s">
        <v>207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284</v>
      </c>
      <c r="C124" s="12" t="s">
        <v>559</v>
      </c>
      <c r="D124" s="15" t="s">
        <v>38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855</v>
      </c>
      <c r="C125" s="12" t="s">
        <v>559</v>
      </c>
      <c r="D125" s="15" t="s">
        <v>41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287</v>
      </c>
      <c r="C126" s="12" t="s">
        <v>289</v>
      </c>
      <c r="D126" s="15" t="s">
        <v>46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288</v>
      </c>
      <c r="C127" s="12" t="s">
        <v>560</v>
      </c>
      <c r="D127" s="15" t="s">
        <v>52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290</v>
      </c>
      <c r="C128" s="12" t="s">
        <v>289</v>
      </c>
      <c r="D128" s="15" t="s">
        <v>212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293</v>
      </c>
      <c r="C129" s="12" t="s">
        <v>561</v>
      </c>
      <c r="D129" s="10" t="s">
        <v>88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295</v>
      </c>
      <c r="C130" s="12" t="s">
        <v>296</v>
      </c>
      <c r="D130" s="15" t="s">
        <v>111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297</v>
      </c>
      <c r="C131" s="12" t="s">
        <v>292</v>
      </c>
      <c r="D131" s="15" t="s">
        <v>111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120</v>
      </c>
      <c r="C132" s="26" t="s">
        <v>562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300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856</v>
      </c>
      <c r="C135" s="12" t="s">
        <v>857</v>
      </c>
      <c r="D135" s="15" t="s">
        <v>124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858</v>
      </c>
      <c r="C136" s="12" t="s">
        <v>859</v>
      </c>
      <c r="D136" s="15" t="s">
        <v>35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304</v>
      </c>
      <c r="C137" s="4" t="s">
        <v>305</v>
      </c>
      <c r="D137" s="16" t="s">
        <v>35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306</v>
      </c>
      <c r="C138" s="12" t="s">
        <v>860</v>
      </c>
      <c r="D138" s="15" t="s">
        <v>189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308</v>
      </c>
      <c r="C139" s="4" t="s">
        <v>312</v>
      </c>
      <c r="D139" s="15" t="s">
        <v>189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310</v>
      </c>
      <c r="C140" s="4" t="s">
        <v>312</v>
      </c>
      <c r="D140" s="15" t="s">
        <v>189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229</v>
      </c>
      <c r="C141" s="12" t="s">
        <v>861</v>
      </c>
      <c r="D141" s="15" t="s">
        <v>170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313</v>
      </c>
      <c r="C142" s="12" t="s">
        <v>861</v>
      </c>
      <c r="D142" s="15" t="s">
        <v>170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314</v>
      </c>
      <c r="C143" s="4" t="s">
        <v>862</v>
      </c>
      <c r="D143" s="15" t="s">
        <v>170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316</v>
      </c>
      <c r="C144" s="12" t="s">
        <v>564</v>
      </c>
      <c r="D144" s="15" t="s">
        <v>69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318</v>
      </c>
      <c r="C145" s="12" t="s">
        <v>319</v>
      </c>
      <c r="D145" s="15" t="s">
        <v>131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61</v>
      </c>
      <c r="C146" s="12" t="s">
        <v>863</v>
      </c>
      <c r="D146" s="15" t="s">
        <v>170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320</v>
      </c>
      <c r="C147" s="4" t="s">
        <v>321</v>
      </c>
      <c r="D147" s="15" t="s">
        <v>504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322</v>
      </c>
      <c r="C148" s="4" t="s">
        <v>864</v>
      </c>
      <c r="D148" s="15" t="s">
        <v>77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323</v>
      </c>
      <c r="C149" s="4" t="s">
        <v>864</v>
      </c>
      <c r="D149" s="15" t="s">
        <v>151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325</v>
      </c>
      <c r="C150" s="4" t="s">
        <v>864</v>
      </c>
      <c r="D150" s="15" t="s">
        <v>151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326</v>
      </c>
      <c r="C151" s="12" t="s">
        <v>327</v>
      </c>
      <c r="D151" s="15" t="s">
        <v>74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328</v>
      </c>
      <c r="C152" s="12" t="s">
        <v>329</v>
      </c>
      <c r="D152" s="10" t="s">
        <v>99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330</v>
      </c>
      <c r="C153" s="12" t="s">
        <v>565</v>
      </c>
      <c r="D153" s="15" t="s">
        <v>77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332</v>
      </c>
      <c r="C154" s="12" t="s">
        <v>566</v>
      </c>
      <c r="D154" s="15" t="s">
        <v>88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334</v>
      </c>
      <c r="C155" s="12" t="s">
        <v>567</v>
      </c>
      <c r="D155" s="15" t="s">
        <v>77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335</v>
      </c>
      <c r="C156" s="12" t="s">
        <v>568</v>
      </c>
      <c r="D156" s="15" t="s">
        <v>88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337</v>
      </c>
      <c r="C157" s="12" t="s">
        <v>338</v>
      </c>
      <c r="D157" s="15" t="s">
        <v>344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345</v>
      </c>
      <c r="C158" s="12" t="s">
        <v>346</v>
      </c>
      <c r="D158" s="15" t="s">
        <v>111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347</v>
      </c>
      <c r="C159" s="12" t="s">
        <v>348</v>
      </c>
      <c r="D159" s="15" t="s">
        <v>111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349</v>
      </c>
      <c r="C160" s="12" t="s">
        <v>350</v>
      </c>
      <c r="D160" s="15" t="s">
        <v>111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351</v>
      </c>
      <c r="C161" s="12" t="s">
        <v>569</v>
      </c>
      <c r="D161" s="15" t="s">
        <v>108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352</v>
      </c>
      <c r="C162" s="12" t="s">
        <v>348</v>
      </c>
      <c r="D162" s="15" t="s">
        <v>111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361</v>
      </c>
      <c r="C163" s="12" t="s">
        <v>362</v>
      </c>
      <c r="D163" s="15" t="s">
        <v>388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364</v>
      </c>
      <c r="C164" s="12" t="s">
        <v>362</v>
      </c>
      <c r="D164" s="15" t="s">
        <v>388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570</v>
      </c>
      <c r="C165" s="12" t="s">
        <v>362</v>
      </c>
      <c r="D165" s="15" t="s">
        <v>388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365</v>
      </c>
      <c r="C166" s="12" t="s">
        <v>362</v>
      </c>
      <c r="D166" s="15" t="s">
        <v>388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366</v>
      </c>
      <c r="C167" s="12" t="s">
        <v>362</v>
      </c>
      <c r="D167" s="15" t="s">
        <v>388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367</v>
      </c>
      <c r="C168" s="12" t="s">
        <v>362</v>
      </c>
      <c r="D168" s="15" t="s">
        <v>381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369</v>
      </c>
      <c r="C169" s="12" t="s">
        <v>362</v>
      </c>
      <c r="D169" s="15" t="s">
        <v>381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370</v>
      </c>
      <c r="C170" s="12" t="s">
        <v>362</v>
      </c>
      <c r="D170" s="15" t="s">
        <v>381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371</v>
      </c>
      <c r="C171" s="12" t="s">
        <v>362</v>
      </c>
      <c r="D171" s="15" t="s">
        <v>381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372</v>
      </c>
      <c r="C172" s="12" t="s">
        <v>362</v>
      </c>
      <c r="D172" s="15" t="s">
        <v>381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359</v>
      </c>
      <c r="C173" s="12" t="s">
        <v>362</v>
      </c>
      <c r="D173" s="15" t="s">
        <v>381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373</v>
      </c>
      <c r="C174" s="12" t="s">
        <v>374</v>
      </c>
      <c r="D174" s="15" t="s">
        <v>511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376</v>
      </c>
      <c r="C175" s="12" t="s">
        <v>374</v>
      </c>
      <c r="D175" s="15" t="s">
        <v>511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377</v>
      </c>
      <c r="C176" s="12" t="s">
        <v>374</v>
      </c>
      <c r="D176" s="15" t="s">
        <v>510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379</v>
      </c>
      <c r="C177" s="12" t="s">
        <v>393</v>
      </c>
      <c r="D177" s="15" t="s">
        <v>512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382</v>
      </c>
      <c r="C178" s="12" t="s">
        <v>390</v>
      </c>
      <c r="D178" s="15" t="s">
        <v>573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383</v>
      </c>
      <c r="C179" s="12" t="s">
        <v>390</v>
      </c>
      <c r="D179" s="15" t="s">
        <v>573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384</v>
      </c>
      <c r="C180" s="12" t="s">
        <v>390</v>
      </c>
      <c r="D180" s="15" t="s">
        <v>573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385</v>
      </c>
      <c r="C181" s="12" t="s">
        <v>390</v>
      </c>
      <c r="D181" s="15" t="s">
        <v>573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386</v>
      </c>
      <c r="C182" s="12" t="s">
        <v>390</v>
      </c>
      <c r="D182" s="15" t="s">
        <v>573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387</v>
      </c>
      <c r="C183" s="12" t="s">
        <v>390</v>
      </c>
      <c r="D183" s="15" t="s">
        <v>573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389</v>
      </c>
      <c r="C184" s="12" t="s">
        <v>390</v>
      </c>
      <c r="D184" s="15" t="s">
        <v>573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572</v>
      </c>
      <c r="C185" s="12" t="s">
        <v>393</v>
      </c>
      <c r="D185" s="15" t="s">
        <v>573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392</v>
      </c>
      <c r="C186" s="12" t="s">
        <v>393</v>
      </c>
      <c r="D186" s="15" t="s">
        <v>573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360</v>
      </c>
      <c r="C187" s="12" t="s">
        <v>395</v>
      </c>
      <c r="D187" s="15" t="s">
        <v>396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397</v>
      </c>
      <c r="C188" s="12" t="s">
        <v>390</v>
      </c>
      <c r="D188" s="15" t="s">
        <v>403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401</v>
      </c>
      <c r="C189" s="12" t="s">
        <v>402</v>
      </c>
      <c r="D189" s="15" t="s">
        <v>865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404</v>
      </c>
      <c r="C190" s="12" t="s">
        <v>402</v>
      </c>
      <c r="D190" s="15" t="s">
        <v>865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405</v>
      </c>
      <c r="C191" s="12" t="s">
        <v>402</v>
      </c>
      <c r="D191" s="15" t="s">
        <v>865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406</v>
      </c>
      <c r="C192" s="12" t="s">
        <v>407</v>
      </c>
      <c r="D192" s="15" t="s">
        <v>398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409</v>
      </c>
      <c r="C193" s="12" t="s">
        <v>407</v>
      </c>
      <c r="D193" s="15" t="s">
        <v>398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120</v>
      </c>
      <c r="C194" s="28" t="s">
        <v>866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411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1089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1090</v>
      </c>
      <c r="H4" s="24" t="s">
        <v>1091</v>
      </c>
      <c r="I4" s="218" t="s">
        <v>1092</v>
      </c>
      <c r="J4" s="24" t="s">
        <v>1093</v>
      </c>
      <c r="K4" s="24" t="s">
        <v>1094</v>
      </c>
      <c r="L4" s="24" t="s">
        <v>1095</v>
      </c>
      <c r="M4" s="218" t="s">
        <v>7</v>
      </c>
      <c r="N4" s="218" t="s">
        <v>7</v>
      </c>
      <c r="O4" s="24" t="s">
        <v>1096</v>
      </c>
      <c r="P4" s="24" t="s">
        <v>1096</v>
      </c>
      <c r="Q4" s="218" t="s">
        <v>8</v>
      </c>
      <c r="R4" s="334" t="s">
        <v>9</v>
      </c>
      <c r="S4" s="218" t="s">
        <v>10</v>
      </c>
      <c r="T4" s="218" t="s">
        <v>813</v>
      </c>
      <c r="U4" s="218" t="s">
        <v>814</v>
      </c>
      <c r="V4" s="218" t="s">
        <v>14</v>
      </c>
      <c r="W4" s="24" t="s">
        <v>15</v>
      </c>
      <c r="X4" s="347" t="s">
        <v>17</v>
      </c>
      <c r="Y4" s="321" t="s">
        <v>701</v>
      </c>
    </row>
    <row r="5" ht="18" spans="1:25">
      <c r="A5" s="1"/>
      <c r="B5" s="1"/>
      <c r="C5" s="8"/>
      <c r="D5" s="8"/>
      <c r="E5" s="82" t="s">
        <v>20</v>
      </c>
      <c r="F5" s="21"/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82" t="s">
        <v>20</v>
      </c>
      <c r="R5" s="307" t="s">
        <v>20</v>
      </c>
      <c r="S5" s="82" t="s">
        <v>20</v>
      </c>
      <c r="T5" s="82" t="s">
        <v>20</v>
      </c>
      <c r="U5" s="82" t="s">
        <v>20</v>
      </c>
      <c r="V5" s="82" t="s">
        <v>20</v>
      </c>
      <c r="W5" s="82" t="s">
        <v>20</v>
      </c>
      <c r="X5" s="449" t="s">
        <v>20</v>
      </c>
      <c r="Y5" s="230" t="s">
        <v>20</v>
      </c>
    </row>
    <row r="6" ht="17.5" spans="1:25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127</v>
      </c>
      <c r="C7" s="4" t="s">
        <v>1064</v>
      </c>
      <c r="D7" s="10" t="s">
        <v>111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1097</v>
      </c>
      <c r="C8" s="14" t="s">
        <v>1060</v>
      </c>
      <c r="D8" s="10" t="s">
        <v>80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1043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473</v>
      </c>
      <c r="Y10" s="455">
        <f>1+(27/31)</f>
        <v>1.87096774193548</v>
      </c>
    </row>
    <row r="11" ht="17.5" spans="23:25">
      <c r="W11" s="453"/>
      <c r="X11" s="454" t="s">
        <v>1098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1099</v>
      </c>
      <c r="B1" s="384"/>
      <c r="C1" s="383"/>
      <c r="D1" s="383"/>
      <c r="E1" s="385"/>
      <c r="F1" s="385"/>
      <c r="G1" s="386"/>
    </row>
    <row r="2" ht="22" spans="1:7">
      <c r="A2" s="383" t="s">
        <v>1100</v>
      </c>
      <c r="B2" s="383"/>
      <c r="C2" s="383"/>
      <c r="D2" s="383"/>
      <c r="E2" s="385"/>
      <c r="F2" s="385"/>
      <c r="G2" s="386"/>
    </row>
    <row r="3" ht="22" spans="1:7">
      <c r="A3" s="383" t="s">
        <v>1101</v>
      </c>
      <c r="B3" s="383"/>
      <c r="C3" s="383"/>
      <c r="D3" s="383"/>
      <c r="E3" s="385"/>
      <c r="F3" s="385"/>
      <c r="G3" s="386"/>
    </row>
    <row r="4" ht="45" customHeight="1" spans="1:8">
      <c r="A4" s="387" t="s">
        <v>21</v>
      </c>
      <c r="B4" s="388" t="s">
        <v>1102</v>
      </c>
      <c r="C4" s="389" t="s">
        <v>1103</v>
      </c>
      <c r="D4" s="390" t="s">
        <v>1104</v>
      </c>
      <c r="E4" s="390" t="s">
        <v>1105</v>
      </c>
      <c r="F4" s="390" t="s">
        <v>1106</v>
      </c>
      <c r="G4" s="390" t="s">
        <v>1107</v>
      </c>
      <c r="H4" s="391" t="s">
        <v>120</v>
      </c>
    </row>
    <row r="5" ht="16" spans="1:9">
      <c r="A5" s="1093" t="s">
        <v>1108</v>
      </c>
      <c r="B5" s="392" t="s">
        <v>1109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1093" t="s">
        <v>1110</v>
      </c>
      <c r="B6" s="396" t="s">
        <v>1111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1093" t="s">
        <v>1112</v>
      </c>
      <c r="B7" s="392" t="s">
        <v>1113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1093" t="s">
        <v>1114</v>
      </c>
      <c r="B8" s="392" t="s">
        <v>1115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1093" t="s">
        <v>1116</v>
      </c>
      <c r="B9" s="392" t="s">
        <v>1117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1093" t="s">
        <v>1118</v>
      </c>
      <c r="B10" s="392" t="s">
        <v>1119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1093" t="s">
        <v>1120</v>
      </c>
      <c r="B11" s="392" t="s">
        <v>1121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1093" t="s">
        <v>1122</v>
      </c>
      <c r="B12" s="392" t="s">
        <v>1123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1093" t="s">
        <v>1124</v>
      </c>
      <c r="B13" s="392" t="s">
        <v>1125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1093" t="s">
        <v>1126</v>
      </c>
      <c r="B14" s="392" t="s">
        <v>1127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1093" t="s">
        <v>1128</v>
      </c>
      <c r="B15" s="392" t="s">
        <v>915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1093" t="s">
        <v>1129</v>
      </c>
      <c r="B16" s="392" t="s">
        <v>282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1093" t="s">
        <v>1130</v>
      </c>
      <c r="B17" s="392" t="s">
        <v>1131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1093" t="s">
        <v>1132</v>
      </c>
      <c r="B18" s="392" t="s">
        <v>1133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1093" t="s">
        <v>1134</v>
      </c>
      <c r="B19" s="392" t="s">
        <v>1135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1093" t="s">
        <v>1136</v>
      </c>
      <c r="B20" s="392" t="s">
        <v>1137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1093" t="s">
        <v>1138</v>
      </c>
      <c r="B21" s="392" t="s">
        <v>1139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1093" t="s">
        <v>1140</v>
      </c>
      <c r="B22" s="392" t="s">
        <v>1141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1093" t="s">
        <v>1142</v>
      </c>
      <c r="B23" s="392" t="s">
        <v>1143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1093" t="s">
        <v>1144</v>
      </c>
      <c r="B24" s="392" t="s">
        <v>288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1093" t="s">
        <v>1145</v>
      </c>
      <c r="B25" s="392" t="s">
        <v>1146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1093" t="s">
        <v>1147</v>
      </c>
      <c r="B26" s="392" t="s">
        <v>1148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1093" t="s">
        <v>1149</v>
      </c>
      <c r="B27" s="392" t="s">
        <v>1150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1093" t="s">
        <v>1151</v>
      </c>
      <c r="B28" s="392" t="s">
        <v>1152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1093" t="s">
        <v>1153</v>
      </c>
      <c r="B29" s="392" t="s">
        <v>1154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1093" t="s">
        <v>1155</v>
      </c>
      <c r="B30" s="392" t="s">
        <v>1156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1093" t="s">
        <v>1157</v>
      </c>
      <c r="B31" s="392" t="s">
        <v>187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1093" t="s">
        <v>1158</v>
      </c>
      <c r="B32" s="392" t="s">
        <v>1159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1093" t="s">
        <v>1160</v>
      </c>
      <c r="B33" s="392" t="s">
        <v>1161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1093" t="s">
        <v>1162</v>
      </c>
      <c r="B34" s="392" t="s">
        <v>1163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1093" t="s">
        <v>1164</v>
      </c>
      <c r="B35" s="392" t="s">
        <v>1165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1093" t="s">
        <v>1166</v>
      </c>
      <c r="B36" s="392" t="s">
        <v>1167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1093" t="s">
        <v>1168</v>
      </c>
      <c r="B37" s="392" t="s">
        <v>1169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1093" t="s">
        <v>1170</v>
      </c>
      <c r="B38" s="392" t="s">
        <v>310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1093" t="s">
        <v>1171</v>
      </c>
      <c r="B39" s="392" t="s">
        <v>33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1093" t="s">
        <v>1172</v>
      </c>
      <c r="B40" s="392" t="s">
        <v>290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1093" t="s">
        <v>1173</v>
      </c>
      <c r="B41" s="392" t="s">
        <v>318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1093" t="s">
        <v>1174</v>
      </c>
      <c r="B42" s="392" t="s">
        <v>1175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1093" t="s">
        <v>1176</v>
      </c>
      <c r="B43" s="392" t="s">
        <v>359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1093" t="s">
        <v>1177</v>
      </c>
      <c r="B44" s="392" t="s">
        <v>1178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1093" t="s">
        <v>1179</v>
      </c>
      <c r="B45" s="392" t="s">
        <v>1180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1093" t="s">
        <v>1181</v>
      </c>
      <c r="B46" s="392" t="s">
        <v>351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1093" t="s">
        <v>1182</v>
      </c>
      <c r="B47" s="392" t="s">
        <v>1183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1093" t="s">
        <v>1184</v>
      </c>
      <c r="B48" s="392" t="s">
        <v>1185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1093" t="s">
        <v>1186</v>
      </c>
      <c r="B49" s="392" t="s">
        <v>1187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1093" t="s">
        <v>1188</v>
      </c>
      <c r="B50" s="392" t="s">
        <v>570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1093" t="s">
        <v>1189</v>
      </c>
      <c r="B51" s="392" t="s">
        <v>1190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1093" t="s">
        <v>1191</v>
      </c>
      <c r="B52" s="392" t="s">
        <v>377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1093" t="s">
        <v>1192</v>
      </c>
      <c r="B53" s="392" t="s">
        <v>366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1093" t="s">
        <v>1193</v>
      </c>
      <c r="B54" s="392" t="s">
        <v>1194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1094" t="s">
        <v>1195</v>
      </c>
      <c r="B55" s="405" t="s">
        <v>1196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1093" t="s">
        <v>1197</v>
      </c>
      <c r="B56" s="392" t="s">
        <v>856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1093" t="s">
        <v>1198</v>
      </c>
      <c r="B57" s="392" t="s">
        <v>1199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1093" t="s">
        <v>1200</v>
      </c>
      <c r="B58" s="392" t="s">
        <v>1201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1094" t="s">
        <v>1202</v>
      </c>
      <c r="B59" s="405" t="s">
        <v>1203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1093" t="s">
        <v>1204</v>
      </c>
      <c r="B60" s="392" t="s">
        <v>1205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1093" t="s">
        <v>1206</v>
      </c>
      <c r="B61" s="392" t="s">
        <v>1207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1093" t="s">
        <v>1208</v>
      </c>
      <c r="B62" s="392" t="s">
        <v>1209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1093" t="s">
        <v>1210</v>
      </c>
      <c r="B63" s="392" t="s">
        <v>1211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1093" t="s">
        <v>1212</v>
      </c>
      <c r="B64" s="392" t="s">
        <v>1213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1093" t="s">
        <v>1214</v>
      </c>
      <c r="B65" s="392" t="s">
        <v>308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1093" t="s">
        <v>1215</v>
      </c>
      <c r="B66" s="392" t="s">
        <v>1216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1093" t="s">
        <v>1217</v>
      </c>
      <c r="B67" s="392" t="s">
        <v>364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1093" t="s">
        <v>1218</v>
      </c>
      <c r="B68" s="392" t="s">
        <v>141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1093" t="s">
        <v>1219</v>
      </c>
      <c r="B69" s="392" t="s">
        <v>1220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1093" t="s">
        <v>1221</v>
      </c>
      <c r="B70" s="392" t="s">
        <v>39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1093" t="s">
        <v>1222</v>
      </c>
      <c r="B71" s="392" t="s">
        <v>1223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1093" t="s">
        <v>1224</v>
      </c>
      <c r="B72" s="392" t="s">
        <v>1225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1093" t="s">
        <v>1226</v>
      </c>
      <c r="B73" s="392" t="s">
        <v>1227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1093" t="s">
        <v>1228</v>
      </c>
      <c r="B74" s="392" t="s">
        <v>372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1093" t="s">
        <v>1229</v>
      </c>
      <c r="B75" s="392" t="s">
        <v>1230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1093" t="s">
        <v>1231</v>
      </c>
      <c r="B76" s="392" t="s">
        <v>1232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1093" t="s">
        <v>1233</v>
      </c>
      <c r="B77" s="392" t="s">
        <v>1234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1093" t="s">
        <v>1235</v>
      </c>
      <c r="B78" s="392" t="s">
        <v>1236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1093" t="s">
        <v>1237</v>
      </c>
      <c r="B79" s="392" t="s">
        <v>1238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1093" t="s">
        <v>1239</v>
      </c>
      <c r="B80" s="392" t="s">
        <v>1240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1093" t="s">
        <v>1241</v>
      </c>
      <c r="B81" s="392" t="s">
        <v>1242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1093" t="s">
        <v>1243</v>
      </c>
      <c r="B82" s="392" t="s">
        <v>1244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1093" t="s">
        <v>1245</v>
      </c>
      <c r="B83" s="392" t="s">
        <v>1246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1093" t="s">
        <v>1247</v>
      </c>
      <c r="B84" s="392" t="s">
        <v>1248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1093" t="s">
        <v>1249</v>
      </c>
      <c r="B85" s="392" t="s">
        <v>1250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1093" t="s">
        <v>1251</v>
      </c>
      <c r="B86" s="392" t="s">
        <v>1252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1093" t="s">
        <v>1253</v>
      </c>
      <c r="B87" s="392" t="s">
        <v>1254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1093" t="s">
        <v>1255</v>
      </c>
      <c r="B88" s="392" t="s">
        <v>1256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1093" t="s">
        <v>1257</v>
      </c>
      <c r="B89" s="392" t="s">
        <v>1258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1093" t="s">
        <v>1259</v>
      </c>
      <c r="B90" s="392" t="s">
        <v>1260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1093" t="s">
        <v>1261</v>
      </c>
      <c r="B91" s="392" t="s">
        <v>1262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1093" t="s">
        <v>1263</v>
      </c>
      <c r="B92" s="392" t="s">
        <v>1264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1093" t="s">
        <v>1265</v>
      </c>
      <c r="B93" s="392" t="s">
        <v>1266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1093" t="s">
        <v>1267</v>
      </c>
      <c r="B94" s="392" t="s">
        <v>1268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1093" t="s">
        <v>1269</v>
      </c>
      <c r="B95" s="392" t="s">
        <v>385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1093" t="s">
        <v>1270</v>
      </c>
      <c r="B96" s="392" t="s">
        <v>1271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1093" t="s">
        <v>1272</v>
      </c>
      <c r="B97" s="392" t="s">
        <v>1273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1093" t="s">
        <v>1274</v>
      </c>
      <c r="B98" s="392" t="s">
        <v>1275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1093" t="s">
        <v>1276</v>
      </c>
      <c r="B99" s="392" t="s">
        <v>1277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1093" t="s">
        <v>1278</v>
      </c>
      <c r="B100" s="392" t="s">
        <v>1279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1093" t="s">
        <v>1280</v>
      </c>
      <c r="B101" s="392" t="s">
        <v>1281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1093" t="s">
        <v>1282</v>
      </c>
      <c r="B102" s="392" t="s">
        <v>1283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1093" t="s">
        <v>1284</v>
      </c>
      <c r="B103" s="392" t="s">
        <v>1285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1093" t="s">
        <v>1286</v>
      </c>
      <c r="B104" s="392" t="s">
        <v>1287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1093" t="s">
        <v>1288</v>
      </c>
      <c r="B105" s="392" t="s">
        <v>1289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1093" t="s">
        <v>1290</v>
      </c>
      <c r="B106" s="392" t="s">
        <v>1291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1095" t="s">
        <v>1292</v>
      </c>
      <c r="B107" s="392" t="s">
        <v>1293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1095" t="s">
        <v>1294</v>
      </c>
      <c r="B108" s="392" t="s">
        <v>1295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1093" t="s">
        <v>1296</v>
      </c>
      <c r="B109" s="392" t="s">
        <v>1297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1093" t="s">
        <v>1298</v>
      </c>
      <c r="B110" s="392" t="s">
        <v>1299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1095" t="s">
        <v>1300</v>
      </c>
      <c r="B111" s="392" t="s">
        <v>210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1093" t="s">
        <v>1301</v>
      </c>
      <c r="B112" s="392" t="s">
        <v>1302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1096" t="s">
        <v>1303</v>
      </c>
      <c r="B113" s="392" t="s">
        <v>211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1093" t="s">
        <v>1304</v>
      </c>
      <c r="B114" s="392" t="s">
        <v>1305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1093" t="s">
        <v>1306</v>
      </c>
      <c r="B115" s="392" t="s">
        <v>1307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1093" t="s">
        <v>1308</v>
      </c>
      <c r="B116" s="392" t="s">
        <v>316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1096" t="s">
        <v>1309</v>
      </c>
      <c r="B117" s="392" t="s">
        <v>1310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1093" t="s">
        <v>1311</v>
      </c>
      <c r="B118" s="392" t="s">
        <v>1312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1093" t="s">
        <v>1313</v>
      </c>
      <c r="B119" s="392" t="s">
        <v>1314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1093" t="s">
        <v>1315</v>
      </c>
      <c r="B120" s="392" t="s">
        <v>1316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1093" t="s">
        <v>1317</v>
      </c>
      <c r="B121" s="392" t="s">
        <v>1318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1093" t="s">
        <v>1319</v>
      </c>
      <c r="B122" s="392" t="s">
        <v>1320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1093" t="s">
        <v>1321</v>
      </c>
      <c r="B123" s="392" t="s">
        <v>233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1093" t="s">
        <v>1322</v>
      </c>
      <c r="B124" s="392" t="s">
        <v>1323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1096" t="s">
        <v>1324</v>
      </c>
      <c r="B125" s="392" t="s">
        <v>1325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1096" t="s">
        <v>1326</v>
      </c>
      <c r="B126" s="392" t="s">
        <v>313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1096" t="s">
        <v>1327</v>
      </c>
      <c r="B127" s="392" t="s">
        <v>1328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1096" t="s">
        <v>1329</v>
      </c>
      <c r="B128" s="392" t="s">
        <v>1330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1096" t="s">
        <v>1331</v>
      </c>
      <c r="B129" s="392" t="s">
        <v>1332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1096" t="s">
        <v>1331</v>
      </c>
      <c r="B130" s="392" t="s">
        <v>1333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1096" t="s">
        <v>1334</v>
      </c>
      <c r="B131" s="392" t="s">
        <v>209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1096" t="s">
        <v>1335</v>
      </c>
      <c r="B132" s="392" t="s">
        <v>1336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1096" t="s">
        <v>1337</v>
      </c>
      <c r="B133" s="392" t="s">
        <v>1338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1096" t="s">
        <v>1339</v>
      </c>
      <c r="B134" s="392" t="s">
        <v>1340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1096" t="s">
        <v>1341</v>
      </c>
      <c r="B135" s="392" t="s">
        <v>1342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1096" t="s">
        <v>1343</v>
      </c>
      <c r="B136" s="392" t="s">
        <v>1344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1096" t="s">
        <v>1345</v>
      </c>
      <c r="B137" s="392" t="s">
        <v>1346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1096" t="s">
        <v>1347</v>
      </c>
      <c r="B138" s="392" t="s">
        <v>1348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1096" t="s">
        <v>1349</v>
      </c>
      <c r="B139" s="392" t="s">
        <v>334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1096" t="s">
        <v>1350</v>
      </c>
      <c r="B140" s="392" t="s">
        <v>194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1096" t="s">
        <v>1351</v>
      </c>
      <c r="B141" s="392" t="s">
        <v>1352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1096" t="s">
        <v>1353</v>
      </c>
      <c r="B142" s="392" t="s">
        <v>1354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1096" t="s">
        <v>1355</v>
      </c>
      <c r="B143" s="392" t="s">
        <v>382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1096" t="s">
        <v>1356</v>
      </c>
      <c r="B144" s="392" t="s">
        <v>1357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1096" t="s">
        <v>1358</v>
      </c>
      <c r="B145" s="392" t="s">
        <v>1359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1096" t="s">
        <v>1360</v>
      </c>
      <c r="B146" s="392" t="s">
        <v>1361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1096" t="s">
        <v>1362</v>
      </c>
      <c r="B147" s="392" t="s">
        <v>1363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1096" t="s">
        <v>1364</v>
      </c>
      <c r="B148" s="392" t="s">
        <v>1365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1096" t="s">
        <v>1366</v>
      </c>
      <c r="B149" s="392" t="s">
        <v>159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1096" t="s">
        <v>1367</v>
      </c>
      <c r="B150" s="392" t="s">
        <v>234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1096" t="s">
        <v>1368</v>
      </c>
      <c r="B151" s="392" t="s">
        <v>1369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1096" t="s">
        <v>1370</v>
      </c>
      <c r="B152" s="392" t="s">
        <v>95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1096" t="s">
        <v>1371</v>
      </c>
      <c r="B153" s="392" t="s">
        <v>91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1096" t="s">
        <v>1372</v>
      </c>
      <c r="B154" s="392" t="s">
        <v>1373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1096" t="s">
        <v>1374</v>
      </c>
      <c r="B155" s="392" t="s">
        <v>1375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1096" t="s">
        <v>1376</v>
      </c>
      <c r="B156" s="392" t="s">
        <v>285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1096" t="s">
        <v>1377</v>
      </c>
      <c r="B157" s="392" t="s">
        <v>1378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1096" t="s">
        <v>1379</v>
      </c>
      <c r="B158" s="392" t="s">
        <v>1380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1096" t="s">
        <v>1381</v>
      </c>
      <c r="B159" s="392" t="s">
        <v>389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1096" t="s">
        <v>1382</v>
      </c>
      <c r="B160" s="392" t="s">
        <v>1383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1096" t="s">
        <v>1384</v>
      </c>
      <c r="B161" s="392" t="s">
        <v>1385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1096" t="s">
        <v>1386</v>
      </c>
      <c r="B162" s="392" t="s">
        <v>1387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1096" t="s">
        <v>1388</v>
      </c>
      <c r="B163" s="392" t="s">
        <v>1389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1096" t="s">
        <v>1390</v>
      </c>
      <c r="B164" s="392" t="s">
        <v>1391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1096" t="s">
        <v>1392</v>
      </c>
      <c r="B165" s="392" t="s">
        <v>1393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1096" t="s">
        <v>1394</v>
      </c>
      <c r="B166" s="392" t="s">
        <v>213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1096" t="s">
        <v>1395</v>
      </c>
      <c r="B167" s="392" t="s">
        <v>1396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1096" t="s">
        <v>1397</v>
      </c>
      <c r="B168" s="392" t="s">
        <v>485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1096" t="s">
        <v>1398</v>
      </c>
      <c r="B169" s="392" t="s">
        <v>1399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1096" t="s">
        <v>1400</v>
      </c>
      <c r="B170" s="392" t="s">
        <v>1401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1096" t="s">
        <v>1402</v>
      </c>
      <c r="B171" s="392" t="s">
        <v>1403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1096" t="s">
        <v>1404</v>
      </c>
      <c r="B172" s="392" t="s">
        <v>172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1096" t="s">
        <v>1405</v>
      </c>
      <c r="B173" s="392" t="s">
        <v>347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1096" t="s">
        <v>1406</v>
      </c>
      <c r="B174" s="392" t="s">
        <v>1407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1096" t="s">
        <v>1408</v>
      </c>
      <c r="B175" s="392" t="s">
        <v>1409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1096" t="s">
        <v>1410</v>
      </c>
      <c r="B176" s="392" t="s">
        <v>103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1096" t="s">
        <v>1411</v>
      </c>
      <c r="B177" s="392" t="s">
        <v>1412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1096" t="s">
        <v>1413</v>
      </c>
      <c r="B178" s="392" t="s">
        <v>1414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1096" t="s">
        <v>1415</v>
      </c>
      <c r="B179" s="392" t="s">
        <v>1416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1096" t="s">
        <v>1417</v>
      </c>
      <c r="B180" s="392" t="s">
        <v>1418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1096" t="s">
        <v>1419</v>
      </c>
      <c r="B181" s="392" t="s">
        <v>406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1096" t="s">
        <v>1417</v>
      </c>
      <c r="B182" s="392" t="s">
        <v>1420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1096" t="s">
        <v>1417</v>
      </c>
      <c r="B183" s="392" t="s">
        <v>401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1096" t="s">
        <v>1417</v>
      </c>
      <c r="B184" s="392" t="s">
        <v>1421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120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1422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1423</v>
      </c>
      <c r="D188" s="387" t="s">
        <v>1424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1425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1426</v>
      </c>
      <c r="G189" s="407"/>
      <c r="H189" s="407"/>
      <c r="I189" s="407"/>
      <c r="K189" s="407"/>
    </row>
    <row r="190" ht="17.5" spans="1:11">
      <c r="A190" s="392"/>
      <c r="B190" s="392" t="s">
        <v>1427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1428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406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1420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401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1421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604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1429</v>
      </c>
      <c r="C198" s="387"/>
      <c r="D198" s="392"/>
      <c r="E198" s="392"/>
      <c r="K198" s="407"/>
    </row>
    <row r="199" ht="15" spans="1:11">
      <c r="A199" s="392"/>
      <c r="B199" s="387"/>
      <c r="C199" s="387" t="s">
        <v>1423</v>
      </c>
      <c r="D199" s="387" t="s">
        <v>1424</v>
      </c>
      <c r="E199" s="392"/>
      <c r="K199" s="407"/>
    </row>
    <row r="200" ht="17.5" spans="1:11">
      <c r="A200" s="441"/>
      <c r="B200" s="441" t="s">
        <v>1430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1431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1432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1096" t="s">
        <v>1160</v>
      </c>
      <c r="B208" s="392" t="s">
        <v>1161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1096" t="s">
        <v>1208</v>
      </c>
      <c r="B209" s="392" t="s">
        <v>1209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1096" t="s">
        <v>1243</v>
      </c>
      <c r="B210" s="392" t="s">
        <v>1244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1096" t="s">
        <v>1317</v>
      </c>
      <c r="B211" s="392" t="s">
        <v>1318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1096" t="s">
        <v>1433</v>
      </c>
      <c r="B212" s="392" t="s">
        <v>1434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1096" t="s">
        <v>1435</v>
      </c>
      <c r="B213" s="392" t="s">
        <v>1436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1096" t="s">
        <v>1437</v>
      </c>
      <c r="B214" s="392" t="s">
        <v>1438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1096" t="s">
        <v>1439</v>
      </c>
      <c r="B215" s="392" t="s">
        <v>1440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1096" t="s">
        <v>1441</v>
      </c>
      <c r="B216" s="392" t="s">
        <v>1442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1096" t="s">
        <v>1443</v>
      </c>
      <c r="B217" s="392" t="s">
        <v>1444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1096" t="s">
        <v>1398</v>
      </c>
      <c r="B218" s="392" t="s">
        <v>1399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1096" t="s">
        <v>1413</v>
      </c>
      <c r="B219" s="392" t="s">
        <v>1414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1096" t="s">
        <v>1445</v>
      </c>
      <c r="B220" s="392" t="s">
        <v>1446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1096" t="s">
        <v>1447</v>
      </c>
      <c r="B221" s="392" t="s">
        <v>1448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1096" t="s">
        <v>1449</v>
      </c>
      <c r="B222" s="392" t="s">
        <v>106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1096" t="s">
        <v>1450</v>
      </c>
      <c r="B223" s="392" t="s">
        <v>1425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1451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597</v>
      </c>
      <c r="F4" s="80" t="s">
        <v>1452</v>
      </c>
      <c r="G4" s="80" t="s">
        <v>1453</v>
      </c>
    </row>
    <row r="5" ht="17.25" customHeight="1" spans="3:7"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9" t="s">
        <v>21</v>
      </c>
      <c r="B6" s="8" t="s">
        <v>22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23</v>
      </c>
      <c r="C7" s="12" t="s">
        <v>24</v>
      </c>
      <c r="D7" s="12" t="s">
        <v>25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26</v>
      </c>
      <c r="C8" s="12" t="s">
        <v>27</v>
      </c>
      <c r="D8" s="10" t="s">
        <v>28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29</v>
      </c>
      <c r="C9" s="4" t="s">
        <v>30</v>
      </c>
      <c r="D9" s="10" t="s">
        <v>28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31</v>
      </c>
      <c r="C10" s="17" t="s">
        <v>32</v>
      </c>
      <c r="D10" s="10" t="s">
        <v>28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301</v>
      </c>
      <c r="C11" s="4" t="s">
        <v>832</v>
      </c>
      <c r="D11" s="10" t="s">
        <v>28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833</v>
      </c>
      <c r="C12" s="10" t="s">
        <v>834</v>
      </c>
      <c r="D12" s="10" t="s">
        <v>28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33</v>
      </c>
      <c r="C13" s="12" t="s">
        <v>835</v>
      </c>
      <c r="D13" s="15" t="s">
        <v>38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36</v>
      </c>
      <c r="C14" s="4" t="s">
        <v>37</v>
      </c>
      <c r="D14" s="10" t="s">
        <v>41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39</v>
      </c>
      <c r="C15" s="4" t="s">
        <v>547</v>
      </c>
      <c r="D15" s="15" t="s">
        <v>189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42</v>
      </c>
      <c r="C16" s="17" t="s">
        <v>51</v>
      </c>
      <c r="D16" s="15" t="s">
        <v>46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47</v>
      </c>
      <c r="C17" s="4" t="s">
        <v>836</v>
      </c>
      <c r="D17" s="10" t="s">
        <v>55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50</v>
      </c>
      <c r="C18" s="12" t="s">
        <v>60</v>
      </c>
      <c r="D18" s="15" t="s">
        <v>502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53</v>
      </c>
      <c r="C19" s="4" t="s">
        <v>54</v>
      </c>
      <c r="D19" s="15" t="s">
        <v>58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64</v>
      </c>
      <c r="C20" s="12" t="s">
        <v>176</v>
      </c>
      <c r="D20" s="15" t="s">
        <v>69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67</v>
      </c>
      <c r="C21" s="17" t="s">
        <v>68</v>
      </c>
      <c r="D21" s="10" t="s">
        <v>504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72</v>
      </c>
      <c r="C22" s="17" t="s">
        <v>73</v>
      </c>
      <c r="D22" s="10" t="s">
        <v>80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485</v>
      </c>
      <c r="C23" s="4" t="s">
        <v>94</v>
      </c>
      <c r="D23" s="10" t="s">
        <v>88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78</v>
      </c>
      <c r="C24" s="12" t="s">
        <v>94</v>
      </c>
      <c r="D24" s="15" t="s">
        <v>88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83</v>
      </c>
      <c r="C25" s="12" t="s">
        <v>84</v>
      </c>
      <c r="D25" s="15" t="s">
        <v>99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86</v>
      </c>
      <c r="C26" s="4" t="s">
        <v>87</v>
      </c>
      <c r="D26" s="10" t="s">
        <v>344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91</v>
      </c>
      <c r="C27" s="17" t="s">
        <v>550</v>
      </c>
      <c r="D27" s="15" t="s">
        <v>99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95</v>
      </c>
      <c r="C28" s="4" t="s">
        <v>551</v>
      </c>
      <c r="D28" s="10" t="s">
        <v>108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1454</v>
      </c>
      <c r="C29" s="12" t="s">
        <v>104</v>
      </c>
      <c r="D29" s="10" t="s">
        <v>108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103</v>
      </c>
      <c r="C30" s="12" t="s">
        <v>104</v>
      </c>
      <c r="D30" s="15" t="s">
        <v>111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120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121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122</v>
      </c>
      <c r="C34" s="4" t="s">
        <v>123</v>
      </c>
      <c r="D34" s="10" t="s">
        <v>124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127</v>
      </c>
      <c r="C35" s="4" t="s">
        <v>1064</v>
      </c>
      <c r="D35" s="10" t="s">
        <v>111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129</v>
      </c>
      <c r="C36" s="12" t="s">
        <v>1061</v>
      </c>
      <c r="D36" s="15" t="s">
        <v>74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137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837</v>
      </c>
      <c r="C40" s="4" t="s">
        <v>838</v>
      </c>
      <c r="D40" s="10" t="s">
        <v>124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839</v>
      </c>
      <c r="C41" s="4" t="s">
        <v>43</v>
      </c>
      <c r="D41" s="10" t="s">
        <v>38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138</v>
      </c>
      <c r="C42" s="4" t="s">
        <v>552</v>
      </c>
      <c r="D42" s="10" t="s">
        <v>207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141</v>
      </c>
      <c r="C43" s="4" t="s">
        <v>142</v>
      </c>
      <c r="D43" s="10" t="s">
        <v>38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143</v>
      </c>
      <c r="C44" s="4" t="s">
        <v>142</v>
      </c>
      <c r="D44" s="10" t="s">
        <v>38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144</v>
      </c>
      <c r="C45" s="4" t="s">
        <v>142</v>
      </c>
      <c r="D45" s="10" t="s">
        <v>41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145</v>
      </c>
      <c r="C46" s="4" t="s">
        <v>51</v>
      </c>
      <c r="D46" s="16" t="s">
        <v>46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44</v>
      </c>
      <c r="C47" s="4" t="s">
        <v>45</v>
      </c>
      <c r="D47" s="10" t="s">
        <v>52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149</v>
      </c>
      <c r="C48" s="4" t="s">
        <v>150</v>
      </c>
      <c r="D48" s="10" t="s">
        <v>74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153</v>
      </c>
      <c r="C49" s="4" t="s">
        <v>150</v>
      </c>
      <c r="D49" s="10" t="s">
        <v>99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840</v>
      </c>
      <c r="C50" s="4" t="s">
        <v>150</v>
      </c>
      <c r="D50" s="10" t="s">
        <v>99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154</v>
      </c>
      <c r="C51" s="4" t="s">
        <v>150</v>
      </c>
      <c r="D51" s="10" t="s">
        <v>99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120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156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841</v>
      </c>
      <c r="C55" s="12" t="s">
        <v>158</v>
      </c>
      <c r="D55" s="15" t="s">
        <v>124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159</v>
      </c>
      <c r="C56" s="12" t="s">
        <v>160</v>
      </c>
      <c r="D56" s="15" t="s">
        <v>161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120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162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842</v>
      </c>
      <c r="C60" s="17" t="s">
        <v>843</v>
      </c>
      <c r="D60" s="10" t="s">
        <v>124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844</v>
      </c>
      <c r="C61" s="17" t="s">
        <v>845</v>
      </c>
      <c r="D61" s="15" t="s">
        <v>49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165</v>
      </c>
      <c r="C62" s="4" t="s">
        <v>51</v>
      </c>
      <c r="D62" s="10" t="s">
        <v>52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846</v>
      </c>
      <c r="C63" s="17" t="s">
        <v>167</v>
      </c>
      <c r="D63" s="15" t="s">
        <v>502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847</v>
      </c>
      <c r="C64" s="17" t="s">
        <v>51</v>
      </c>
      <c r="D64" s="15" t="s">
        <v>189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169</v>
      </c>
      <c r="C65" s="4" t="s">
        <v>150</v>
      </c>
      <c r="D65" s="10" t="s">
        <v>131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171</v>
      </c>
      <c r="C66" s="17" t="s">
        <v>71</v>
      </c>
      <c r="D66" s="10" t="s">
        <v>131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172</v>
      </c>
      <c r="C67" s="17" t="s">
        <v>71</v>
      </c>
      <c r="D67" s="10" t="s">
        <v>131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173</v>
      </c>
      <c r="C68" s="4" t="s">
        <v>553</v>
      </c>
      <c r="D68" s="10" t="s">
        <v>69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177</v>
      </c>
      <c r="C69" s="4" t="s">
        <v>150</v>
      </c>
      <c r="D69" s="10" t="s">
        <v>74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81</v>
      </c>
      <c r="C70" s="17" t="s">
        <v>68</v>
      </c>
      <c r="D70" s="10" t="s">
        <v>88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120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180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181</v>
      </c>
      <c r="C74" s="4" t="s">
        <v>182</v>
      </c>
      <c r="D74" s="10" t="s">
        <v>124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848</v>
      </c>
      <c r="C75" s="4" t="s">
        <v>849</v>
      </c>
      <c r="D75" s="15" t="s">
        <v>850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183</v>
      </c>
      <c r="C76" s="12" t="s">
        <v>851</v>
      </c>
      <c r="D76" s="10" t="s">
        <v>161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187</v>
      </c>
      <c r="C77" s="4" t="s">
        <v>188</v>
      </c>
      <c r="D77" s="15" t="s">
        <v>212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194</v>
      </c>
      <c r="C78" s="4" t="s">
        <v>179</v>
      </c>
      <c r="D78" s="10" t="s">
        <v>77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198</v>
      </c>
      <c r="C79" s="4" t="s">
        <v>179</v>
      </c>
      <c r="D79" s="10" t="s">
        <v>99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200</v>
      </c>
      <c r="C80" s="4" t="s">
        <v>201</v>
      </c>
      <c r="D80" s="10" t="s">
        <v>111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120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202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205</v>
      </c>
      <c r="C84" s="4" t="s">
        <v>142</v>
      </c>
      <c r="D84" s="10" t="s">
        <v>38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203</v>
      </c>
      <c r="C85" s="4" t="s">
        <v>142</v>
      </c>
      <c r="D85" s="10" t="s">
        <v>38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163</v>
      </c>
      <c r="C86" s="4" t="s">
        <v>142</v>
      </c>
      <c r="D86" s="10" t="s">
        <v>49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208</v>
      </c>
      <c r="C87" s="4" t="s">
        <v>142</v>
      </c>
      <c r="D87" s="10" t="s">
        <v>41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209</v>
      </c>
      <c r="C88" s="4" t="s">
        <v>852</v>
      </c>
      <c r="D88" s="15" t="s">
        <v>55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210</v>
      </c>
      <c r="C89" s="12" t="s">
        <v>167</v>
      </c>
      <c r="D89" s="15" t="s">
        <v>502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211</v>
      </c>
      <c r="C90" s="12" t="s">
        <v>51</v>
      </c>
      <c r="D90" s="15" t="s">
        <v>501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213</v>
      </c>
      <c r="C91" s="17" t="s">
        <v>71</v>
      </c>
      <c r="D91" s="15" t="s">
        <v>131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214</v>
      </c>
      <c r="C92" s="17" t="s">
        <v>71</v>
      </c>
      <c r="D92" s="15" t="s">
        <v>66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217</v>
      </c>
      <c r="C93" s="4" t="s">
        <v>218</v>
      </c>
      <c r="D93" s="10" t="s">
        <v>74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221</v>
      </c>
      <c r="C94" s="17" t="s">
        <v>222</v>
      </c>
      <c r="D94" s="15" t="s">
        <v>108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120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224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225</v>
      </c>
      <c r="C98" s="4" t="s">
        <v>554</v>
      </c>
      <c r="D98" s="16" t="s">
        <v>35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227</v>
      </c>
      <c r="C99" s="4" t="s">
        <v>228</v>
      </c>
      <c r="D99" s="15" t="s">
        <v>212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233</v>
      </c>
      <c r="C100" s="4" t="s">
        <v>555</v>
      </c>
      <c r="D100" s="15" t="s">
        <v>69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234</v>
      </c>
      <c r="C101" s="4" t="s">
        <v>197</v>
      </c>
      <c r="D101" s="15" t="s">
        <v>74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120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237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556</v>
      </c>
      <c r="C105" s="12" t="s">
        <v>239</v>
      </c>
      <c r="D105" s="15" t="s">
        <v>124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240</v>
      </c>
      <c r="C106" s="4" t="s">
        <v>241</v>
      </c>
      <c r="D106" s="16" t="s">
        <v>35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242</v>
      </c>
      <c r="C107" s="4" t="s">
        <v>557</v>
      </c>
      <c r="D107" s="10" t="s">
        <v>55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244</v>
      </c>
      <c r="C108" s="4" t="s">
        <v>557</v>
      </c>
      <c r="D108" s="10" t="s">
        <v>55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247</v>
      </c>
      <c r="C109" s="4" t="s">
        <v>248</v>
      </c>
      <c r="D109" s="15" t="s">
        <v>853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250</v>
      </c>
      <c r="C110" s="4" t="s">
        <v>248</v>
      </c>
      <c r="D110" s="10" t="s">
        <v>223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251</v>
      </c>
      <c r="C111" s="4" t="s">
        <v>248</v>
      </c>
      <c r="D111" s="15" t="s">
        <v>108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120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255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257</v>
      </c>
      <c r="C115" s="4" t="s">
        <v>258</v>
      </c>
      <c r="D115" s="15" t="s">
        <v>69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190</v>
      </c>
      <c r="C116" s="12" t="s">
        <v>854</v>
      </c>
      <c r="D116" s="15" t="s">
        <v>170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120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279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280</v>
      </c>
      <c r="C120" s="12" t="s">
        <v>281</v>
      </c>
      <c r="D120" s="15" t="s">
        <v>124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282</v>
      </c>
      <c r="C121" s="12" t="s">
        <v>558</v>
      </c>
      <c r="D121" s="15" t="s">
        <v>207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284</v>
      </c>
      <c r="C122" s="12" t="s">
        <v>559</v>
      </c>
      <c r="D122" s="15" t="s">
        <v>38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855</v>
      </c>
      <c r="C123" s="12" t="s">
        <v>559</v>
      </c>
      <c r="D123" s="15" t="s">
        <v>49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287</v>
      </c>
      <c r="C124" s="12" t="s">
        <v>289</v>
      </c>
      <c r="D124" s="15" t="s">
        <v>46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288</v>
      </c>
      <c r="C125" s="12" t="s">
        <v>560</v>
      </c>
      <c r="D125" s="15" t="s">
        <v>52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290</v>
      </c>
      <c r="C126" s="12" t="s">
        <v>289</v>
      </c>
      <c r="D126" s="15" t="s">
        <v>212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293</v>
      </c>
      <c r="C127" s="12" t="s">
        <v>561</v>
      </c>
      <c r="D127" s="10" t="s">
        <v>88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295</v>
      </c>
      <c r="C128" s="12" t="s">
        <v>296</v>
      </c>
      <c r="D128" s="15" t="s">
        <v>111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297</v>
      </c>
      <c r="C129" s="12" t="s">
        <v>292</v>
      </c>
      <c r="D129" s="15" t="s">
        <v>111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120</v>
      </c>
      <c r="C130" s="26" t="s">
        <v>562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300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856</v>
      </c>
      <c r="C133" s="12" t="s">
        <v>857</v>
      </c>
      <c r="D133" s="15" t="s">
        <v>124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858</v>
      </c>
      <c r="C134" s="12" t="s">
        <v>859</v>
      </c>
      <c r="D134" s="15" t="s">
        <v>35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304</v>
      </c>
      <c r="C135" s="4" t="s">
        <v>305</v>
      </c>
      <c r="D135" s="16" t="s">
        <v>35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306</v>
      </c>
      <c r="C136" s="12" t="s">
        <v>860</v>
      </c>
      <c r="D136" s="15" t="s">
        <v>189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308</v>
      </c>
      <c r="C137" s="4" t="s">
        <v>312</v>
      </c>
      <c r="D137" s="15" t="s">
        <v>189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310</v>
      </c>
      <c r="C138" s="4" t="s">
        <v>312</v>
      </c>
      <c r="D138" s="15" t="s">
        <v>189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229</v>
      </c>
      <c r="C139" s="12" t="s">
        <v>861</v>
      </c>
      <c r="D139" s="15" t="s">
        <v>170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313</v>
      </c>
      <c r="C140" s="12" t="s">
        <v>861</v>
      </c>
      <c r="D140" s="15" t="s">
        <v>170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314</v>
      </c>
      <c r="C141" s="4" t="s">
        <v>862</v>
      </c>
      <c r="D141" s="15" t="s">
        <v>170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316</v>
      </c>
      <c r="C142" s="12" t="s">
        <v>564</v>
      </c>
      <c r="D142" s="15" t="s">
        <v>69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318</v>
      </c>
      <c r="C143" s="12" t="s">
        <v>319</v>
      </c>
      <c r="D143" s="15" t="s">
        <v>131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61</v>
      </c>
      <c r="C144" s="12" t="s">
        <v>863</v>
      </c>
      <c r="D144" s="15" t="s">
        <v>170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320</v>
      </c>
      <c r="C145" s="4" t="s">
        <v>321</v>
      </c>
      <c r="D145" s="15" t="s">
        <v>504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322</v>
      </c>
      <c r="C146" s="4" t="s">
        <v>864</v>
      </c>
      <c r="D146" s="15" t="s">
        <v>77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323</v>
      </c>
      <c r="C147" s="4" t="s">
        <v>864</v>
      </c>
      <c r="D147" s="15" t="s">
        <v>151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325</v>
      </c>
      <c r="C148" s="4" t="s">
        <v>864</v>
      </c>
      <c r="D148" s="15" t="s">
        <v>151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326</v>
      </c>
      <c r="C149" s="12" t="s">
        <v>327</v>
      </c>
      <c r="D149" s="15" t="s">
        <v>74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328</v>
      </c>
      <c r="C150" s="12" t="s">
        <v>329</v>
      </c>
      <c r="D150" s="10" t="s">
        <v>99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330</v>
      </c>
      <c r="C151" s="12" t="s">
        <v>565</v>
      </c>
      <c r="D151" s="15" t="s">
        <v>77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332</v>
      </c>
      <c r="C152" s="12" t="s">
        <v>566</v>
      </c>
      <c r="D152" s="15" t="s">
        <v>88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334</v>
      </c>
      <c r="C153" s="12" t="s">
        <v>567</v>
      </c>
      <c r="D153" s="15" t="s">
        <v>77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335</v>
      </c>
      <c r="C154" s="12" t="s">
        <v>568</v>
      </c>
      <c r="D154" s="15" t="s">
        <v>88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337</v>
      </c>
      <c r="C155" s="12" t="s">
        <v>338</v>
      </c>
      <c r="D155" s="15" t="s">
        <v>344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345</v>
      </c>
      <c r="C156" s="12" t="s">
        <v>346</v>
      </c>
      <c r="D156" s="15" t="s">
        <v>111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347</v>
      </c>
      <c r="C157" s="12" t="s">
        <v>348</v>
      </c>
      <c r="D157" s="15" t="s">
        <v>111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349</v>
      </c>
      <c r="C158" s="12" t="s">
        <v>350</v>
      </c>
      <c r="D158" s="15" t="s">
        <v>111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351</v>
      </c>
      <c r="C159" s="12" t="s">
        <v>569</v>
      </c>
      <c r="D159" s="15" t="s">
        <v>108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352</v>
      </c>
      <c r="C160" s="12" t="s">
        <v>348</v>
      </c>
      <c r="D160" s="15" t="s">
        <v>111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361</v>
      </c>
      <c r="C161" s="12" t="s">
        <v>362</v>
      </c>
      <c r="D161" s="15" t="s">
        <v>388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364</v>
      </c>
      <c r="C162" s="12" t="s">
        <v>362</v>
      </c>
      <c r="D162" s="15" t="s">
        <v>388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570</v>
      </c>
      <c r="C163" s="12" t="s">
        <v>362</v>
      </c>
      <c r="D163" s="15" t="s">
        <v>388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365</v>
      </c>
      <c r="C164" s="12" t="s">
        <v>362</v>
      </c>
      <c r="D164" s="15" t="s">
        <v>388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366</v>
      </c>
      <c r="C165" s="12" t="s">
        <v>362</v>
      </c>
      <c r="D165" s="15" t="s">
        <v>388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367</v>
      </c>
      <c r="C166" s="12" t="s">
        <v>362</v>
      </c>
      <c r="D166" s="15" t="s">
        <v>381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369</v>
      </c>
      <c r="C167" s="12" t="s">
        <v>362</v>
      </c>
      <c r="D167" s="15" t="s">
        <v>381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370</v>
      </c>
      <c r="C168" s="12" t="s">
        <v>362</v>
      </c>
      <c r="D168" s="15" t="s">
        <v>381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371</v>
      </c>
      <c r="C169" s="12" t="s">
        <v>362</v>
      </c>
      <c r="D169" s="15" t="s">
        <v>381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372</v>
      </c>
      <c r="C170" s="12" t="s">
        <v>362</v>
      </c>
      <c r="D170" s="15" t="s">
        <v>381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359</v>
      </c>
      <c r="C171" s="12" t="s">
        <v>362</v>
      </c>
      <c r="D171" s="15" t="s">
        <v>381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373</v>
      </c>
      <c r="C172" s="12" t="s">
        <v>374</v>
      </c>
      <c r="D172" s="15" t="s">
        <v>511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376</v>
      </c>
      <c r="C173" s="12" t="s">
        <v>374</v>
      </c>
      <c r="D173" s="15" t="s">
        <v>511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377</v>
      </c>
      <c r="C174" s="12" t="s">
        <v>374</v>
      </c>
      <c r="D174" s="15" t="s">
        <v>510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379</v>
      </c>
      <c r="C175" s="12" t="s">
        <v>393</v>
      </c>
      <c r="D175" s="15" t="s">
        <v>512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382</v>
      </c>
      <c r="C176" s="12" t="s">
        <v>390</v>
      </c>
      <c r="D176" s="15" t="s">
        <v>573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383</v>
      </c>
      <c r="C177" s="12" t="s">
        <v>390</v>
      </c>
      <c r="D177" s="15" t="s">
        <v>573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384</v>
      </c>
      <c r="C178" s="12" t="s">
        <v>390</v>
      </c>
      <c r="D178" s="15" t="s">
        <v>573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385</v>
      </c>
      <c r="C179" s="12" t="s">
        <v>390</v>
      </c>
      <c r="D179" s="15" t="s">
        <v>573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386</v>
      </c>
      <c r="C180" s="12" t="s">
        <v>390</v>
      </c>
      <c r="D180" s="15" t="s">
        <v>573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387</v>
      </c>
      <c r="C181" s="12" t="s">
        <v>390</v>
      </c>
      <c r="D181" s="15" t="s">
        <v>573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389</v>
      </c>
      <c r="C182" s="12" t="s">
        <v>390</v>
      </c>
      <c r="D182" s="15" t="s">
        <v>573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572</v>
      </c>
      <c r="C183" s="12" t="s">
        <v>393</v>
      </c>
      <c r="D183" s="15" t="s">
        <v>573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392</v>
      </c>
      <c r="C184" s="12" t="s">
        <v>393</v>
      </c>
      <c r="D184" s="15" t="s">
        <v>573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360</v>
      </c>
      <c r="C185" s="12" t="s">
        <v>395</v>
      </c>
      <c r="D185" s="15" t="s">
        <v>396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397</v>
      </c>
      <c r="C186" s="12" t="s">
        <v>390</v>
      </c>
      <c r="D186" s="15" t="s">
        <v>403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401</v>
      </c>
      <c r="C187" s="12" t="s">
        <v>402</v>
      </c>
      <c r="D187" s="15" t="s">
        <v>865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404</v>
      </c>
      <c r="C188" s="12" t="s">
        <v>402</v>
      </c>
      <c r="D188" s="15" t="s">
        <v>865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405</v>
      </c>
      <c r="C189" s="12" t="s">
        <v>402</v>
      </c>
      <c r="D189" s="15" t="s">
        <v>865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406</v>
      </c>
      <c r="C190" s="12" t="s">
        <v>407</v>
      </c>
      <c r="D190" s="15" t="s">
        <v>398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409</v>
      </c>
      <c r="C191" s="12" t="s">
        <v>407</v>
      </c>
      <c r="D191" s="15" t="s">
        <v>398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120</v>
      </c>
      <c r="C192" s="28" t="s">
        <v>866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411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1455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1456</v>
      </c>
      <c r="E4" s="80" t="s">
        <v>5</v>
      </c>
      <c r="F4" s="21" t="s">
        <v>1090</v>
      </c>
      <c r="G4" s="21" t="s">
        <v>1091</v>
      </c>
      <c r="H4" s="80" t="s">
        <v>1092</v>
      </c>
      <c r="I4" s="21" t="s">
        <v>1093</v>
      </c>
      <c r="J4" s="21" t="s">
        <v>1094</v>
      </c>
      <c r="K4" s="21" t="s">
        <v>1095</v>
      </c>
      <c r="L4" s="80" t="s">
        <v>7</v>
      </c>
      <c r="M4" s="80" t="s">
        <v>7</v>
      </c>
      <c r="N4" s="21" t="s">
        <v>1096</v>
      </c>
      <c r="O4" s="21" t="s">
        <v>1096</v>
      </c>
      <c r="P4" s="80" t="s">
        <v>8</v>
      </c>
      <c r="Q4" s="306" t="s">
        <v>972</v>
      </c>
      <c r="R4" s="7" t="s">
        <v>489</v>
      </c>
      <c r="S4" s="306" t="s">
        <v>973</v>
      </c>
      <c r="T4" s="80" t="s">
        <v>974</v>
      </c>
      <c r="U4" s="80" t="s">
        <v>975</v>
      </c>
      <c r="V4" s="80" t="s">
        <v>524</v>
      </c>
      <c r="W4" s="80" t="s">
        <v>976</v>
      </c>
      <c r="X4" s="80" t="s">
        <v>977</v>
      </c>
      <c r="Y4" s="319" t="s">
        <v>978</v>
      </c>
      <c r="Z4" s="320" t="s">
        <v>979</v>
      </c>
      <c r="AA4" s="80" t="s">
        <v>473</v>
      </c>
      <c r="AB4" s="321" t="s">
        <v>758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1457</v>
      </c>
      <c r="C7" s="1" t="s">
        <v>1458</v>
      </c>
      <c r="D7" s="15" t="s">
        <v>105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344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120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137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138</v>
      </c>
      <c r="C11" s="4" t="s">
        <v>142</v>
      </c>
      <c r="D11" s="10" t="s">
        <v>38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506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144</v>
      </c>
      <c r="C12" s="4" t="s">
        <v>45</v>
      </c>
      <c r="D12" s="10" t="s">
        <v>46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41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120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279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282</v>
      </c>
      <c r="C17" s="12" t="s">
        <v>559</v>
      </c>
      <c r="D17" s="15" t="s">
        <v>38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506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288</v>
      </c>
      <c r="C18" s="12" t="s">
        <v>560</v>
      </c>
      <c r="D18" s="15" t="s">
        <v>502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1459</v>
      </c>
      <c r="S18" s="85">
        <f>'JANUARY 2026'!J173</f>
        <v>659657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120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279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373</v>
      </c>
      <c r="C22" s="12" t="s">
        <v>393</v>
      </c>
      <c r="D22" s="15" t="s">
        <v>512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511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376</v>
      </c>
      <c r="C23" s="302" t="s">
        <v>393</v>
      </c>
      <c r="D23" s="303" t="s">
        <v>512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511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'[10]October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377</v>
      </c>
      <c r="C24" s="12" t="s">
        <v>393</v>
      </c>
      <c r="D24" s="15" t="s">
        <v>391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511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411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1460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597</v>
      </c>
    </row>
    <row r="5" ht="17.25" customHeight="1" spans="3:5">
      <c r="C5" s="8"/>
      <c r="D5" s="8"/>
      <c r="E5" s="358" t="s">
        <v>20</v>
      </c>
    </row>
    <row r="6" customHeight="1" spans="1:5">
      <c r="A6" s="9" t="s">
        <v>21</v>
      </c>
      <c r="B6" s="8" t="s">
        <v>22</v>
      </c>
      <c r="C6" s="8"/>
      <c r="D6" s="8"/>
      <c r="E6" s="358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356">
        <v>540000</v>
      </c>
      <c r="F7" s="13"/>
    </row>
    <row r="8" customHeight="1" spans="1:6">
      <c r="A8" s="10">
        <v>2</v>
      </c>
      <c r="B8" s="11" t="s">
        <v>26</v>
      </c>
      <c r="C8" s="12" t="s">
        <v>27</v>
      </c>
      <c r="D8" s="10" t="s">
        <v>28</v>
      </c>
      <c r="E8" s="356">
        <v>180000</v>
      </c>
      <c r="F8" s="13"/>
    </row>
    <row r="9" customHeight="1" spans="1:6">
      <c r="A9" s="10">
        <v>3</v>
      </c>
      <c r="B9" s="14" t="s">
        <v>29</v>
      </c>
      <c r="C9" s="4" t="s">
        <v>30</v>
      </c>
      <c r="D9" s="15" t="s">
        <v>207</v>
      </c>
      <c r="E9" s="356">
        <v>180000</v>
      </c>
      <c r="F9" s="13"/>
    </row>
    <row r="10" customHeight="1" spans="1:6">
      <c r="A10" s="10">
        <v>4</v>
      </c>
      <c r="B10" s="11" t="s">
        <v>31</v>
      </c>
      <c r="C10" s="17" t="s">
        <v>32</v>
      </c>
      <c r="D10" s="16" t="s">
        <v>207</v>
      </c>
      <c r="E10" s="356">
        <v>180000</v>
      </c>
      <c r="F10" s="13"/>
    </row>
    <row r="11" customHeight="1" spans="1:6">
      <c r="A11" s="10">
        <v>5</v>
      </c>
      <c r="B11" s="14" t="s">
        <v>301</v>
      </c>
      <c r="C11" s="4" t="s">
        <v>832</v>
      </c>
      <c r="D11" s="16" t="s">
        <v>207</v>
      </c>
      <c r="E11" s="356">
        <v>180000</v>
      </c>
      <c r="F11" s="13"/>
    </row>
    <row r="12" customHeight="1" spans="1:6">
      <c r="A12" s="10">
        <v>6</v>
      </c>
      <c r="B12" s="18" t="s">
        <v>833</v>
      </c>
      <c r="C12" s="10" t="s">
        <v>834</v>
      </c>
      <c r="D12" s="15" t="s">
        <v>207</v>
      </c>
      <c r="E12" s="356">
        <v>180000</v>
      </c>
      <c r="F12" s="13"/>
    </row>
    <row r="13" customHeight="1" spans="1:6">
      <c r="A13" s="10">
        <v>7</v>
      </c>
      <c r="B13" s="11" t="s">
        <v>33</v>
      </c>
      <c r="C13" s="12" t="s">
        <v>835</v>
      </c>
      <c r="D13" s="15" t="s">
        <v>38</v>
      </c>
      <c r="E13" s="356">
        <v>126000</v>
      </c>
      <c r="F13" s="13"/>
    </row>
    <row r="14" customHeight="1" spans="1:6">
      <c r="A14" s="10">
        <v>8</v>
      </c>
      <c r="B14" s="11" t="s">
        <v>36</v>
      </c>
      <c r="C14" s="4" t="s">
        <v>37</v>
      </c>
      <c r="D14" s="10" t="s">
        <v>41</v>
      </c>
      <c r="E14" s="356">
        <v>126000</v>
      </c>
      <c r="F14" s="13"/>
    </row>
    <row r="15" customHeight="1" spans="1:6">
      <c r="A15" s="10">
        <v>9</v>
      </c>
      <c r="B15" s="11" t="s">
        <v>39</v>
      </c>
      <c r="C15" s="4" t="s">
        <v>547</v>
      </c>
      <c r="D15" s="15" t="s">
        <v>46</v>
      </c>
      <c r="E15" s="356">
        <f>90000</f>
        <v>90000</v>
      </c>
      <c r="F15" s="13"/>
    </row>
    <row r="16" customHeight="1" spans="1:6">
      <c r="A16" s="10">
        <v>10</v>
      </c>
      <c r="B16" s="14" t="s">
        <v>42</v>
      </c>
      <c r="C16" s="17" t="s">
        <v>51</v>
      </c>
      <c r="D16" s="15" t="s">
        <v>212</v>
      </c>
      <c r="E16" s="356">
        <f>90000</f>
        <v>90000</v>
      </c>
      <c r="F16" s="13"/>
    </row>
    <row r="17" customHeight="1" spans="1:5">
      <c r="A17" s="10">
        <v>11</v>
      </c>
      <c r="B17" s="11" t="s">
        <v>47</v>
      </c>
      <c r="C17" s="4" t="s">
        <v>836</v>
      </c>
      <c r="D17" s="10" t="s">
        <v>55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50</v>
      </c>
      <c r="C18" s="12" t="s">
        <v>60</v>
      </c>
      <c r="D18" s="15" t="s">
        <v>215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53</v>
      </c>
      <c r="C19" s="4" t="s">
        <v>54</v>
      </c>
      <c r="D19" s="15" t="s">
        <v>503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64</v>
      </c>
      <c r="C20" s="12" t="s">
        <v>176</v>
      </c>
      <c r="D20" s="15" t="s">
        <v>131</v>
      </c>
      <c r="E20" s="356">
        <v>54000</v>
      </c>
      <c r="F20" s="13"/>
    </row>
    <row r="21" customHeight="1" spans="1:6">
      <c r="A21" s="10">
        <v>15</v>
      </c>
      <c r="B21" s="14" t="s">
        <v>67</v>
      </c>
      <c r="C21" s="17" t="s">
        <v>68</v>
      </c>
      <c r="D21" s="10" t="s">
        <v>504</v>
      </c>
      <c r="E21" s="356">
        <v>54000</v>
      </c>
      <c r="F21" s="13"/>
    </row>
    <row r="22" customHeight="1" spans="1:6">
      <c r="A22" s="10">
        <v>16</v>
      </c>
      <c r="B22" s="14" t="s">
        <v>72</v>
      </c>
      <c r="C22" s="17" t="s">
        <v>73</v>
      </c>
      <c r="D22" s="10" t="s">
        <v>80</v>
      </c>
      <c r="E22" s="356">
        <v>54000</v>
      </c>
      <c r="F22" s="13"/>
    </row>
    <row r="23" ht="18.75" customHeight="1" spans="1:6">
      <c r="A23" s="10">
        <v>17</v>
      </c>
      <c r="B23" s="4" t="s">
        <v>485</v>
      </c>
      <c r="C23" s="4" t="s">
        <v>94</v>
      </c>
      <c r="D23" s="10" t="s">
        <v>99</v>
      </c>
      <c r="E23" s="356">
        <v>54000</v>
      </c>
      <c r="F23" s="13"/>
    </row>
    <row r="24" ht="18.75" customHeight="1" spans="1:6">
      <c r="A24" s="10">
        <v>18</v>
      </c>
      <c r="B24" s="18" t="s">
        <v>78</v>
      </c>
      <c r="C24" s="12" t="s">
        <v>94</v>
      </c>
      <c r="D24" s="15" t="s">
        <v>99</v>
      </c>
      <c r="E24" s="356">
        <v>54000</v>
      </c>
      <c r="F24" s="13"/>
    </row>
    <row r="25" ht="18.75" customHeight="1" spans="1:6">
      <c r="A25" s="10">
        <v>19</v>
      </c>
      <c r="B25" s="18" t="s">
        <v>83</v>
      </c>
      <c r="C25" s="12" t="s">
        <v>84</v>
      </c>
      <c r="D25" s="15" t="s">
        <v>344</v>
      </c>
      <c r="E25" s="356">
        <v>54000</v>
      </c>
      <c r="F25" s="13"/>
    </row>
    <row r="26" ht="18.75" customHeight="1" spans="1:6">
      <c r="A26" s="10">
        <v>20</v>
      </c>
      <c r="B26" s="18" t="s">
        <v>86</v>
      </c>
      <c r="C26" s="4" t="s">
        <v>87</v>
      </c>
      <c r="D26" s="10" t="s">
        <v>344</v>
      </c>
      <c r="E26" s="356">
        <v>54000</v>
      </c>
      <c r="F26" s="13"/>
    </row>
    <row r="27" ht="18.75" customHeight="1" spans="1:6">
      <c r="A27" s="10">
        <v>21</v>
      </c>
      <c r="B27" s="18" t="s">
        <v>91</v>
      </c>
      <c r="C27" s="17" t="s">
        <v>550</v>
      </c>
      <c r="D27" s="15" t="s">
        <v>99</v>
      </c>
      <c r="E27" s="356">
        <v>54000</v>
      </c>
      <c r="F27" s="13"/>
    </row>
    <row r="28" ht="18.75" customHeight="1" spans="1:6">
      <c r="A28" s="10">
        <v>22</v>
      </c>
      <c r="B28" s="18" t="s">
        <v>95</v>
      </c>
      <c r="C28" s="4" t="s">
        <v>551</v>
      </c>
      <c r="D28" s="10" t="s">
        <v>111</v>
      </c>
      <c r="E28" s="356">
        <v>54000</v>
      </c>
      <c r="F28" s="13"/>
    </row>
    <row r="29" ht="18.75" customHeight="1" spans="1:6">
      <c r="A29" s="10">
        <v>23</v>
      </c>
      <c r="B29" s="18" t="s">
        <v>1454</v>
      </c>
      <c r="C29" s="12" t="s">
        <v>104</v>
      </c>
      <c r="D29" s="15" t="s">
        <v>111</v>
      </c>
      <c r="E29" s="356">
        <v>54000</v>
      </c>
      <c r="F29" s="13"/>
    </row>
    <row r="30" ht="18.75" customHeight="1" spans="1:6">
      <c r="A30" s="10">
        <v>24</v>
      </c>
      <c r="B30" s="18" t="s">
        <v>103</v>
      </c>
      <c r="C30" s="12" t="s">
        <v>104</v>
      </c>
      <c r="D30" s="15" t="s">
        <v>276</v>
      </c>
      <c r="E30" s="356">
        <v>54000</v>
      </c>
      <c r="F30" s="13"/>
    </row>
    <row r="31" ht="26.25" customHeight="1" spans="1:6">
      <c r="A31" s="10"/>
      <c r="B31" s="20" t="s">
        <v>120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121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122</v>
      </c>
      <c r="C34" s="4" t="s">
        <v>123</v>
      </c>
      <c r="D34" s="10" t="s">
        <v>124</v>
      </c>
      <c r="E34" s="356">
        <v>270000</v>
      </c>
      <c r="F34" s="13"/>
    </row>
    <row r="35" ht="18.75" customHeight="1" spans="1:6">
      <c r="A35" s="10">
        <v>2</v>
      </c>
      <c r="B35" s="18" t="s">
        <v>127</v>
      </c>
      <c r="C35" s="4" t="s">
        <v>1064</v>
      </c>
      <c r="D35" s="10" t="s">
        <v>276</v>
      </c>
      <c r="E35" s="356">
        <v>54000</v>
      </c>
      <c r="F35" s="13"/>
    </row>
    <row r="36" ht="18.75" customHeight="1" spans="1:6">
      <c r="A36" s="10">
        <v>3</v>
      </c>
      <c r="B36" s="11" t="s">
        <v>129</v>
      </c>
      <c r="C36" s="12" t="s">
        <v>1061</v>
      </c>
      <c r="D36" s="15" t="s">
        <v>80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137</v>
      </c>
      <c r="C39" s="5"/>
      <c r="D39" s="24"/>
      <c r="E39" s="359"/>
      <c r="F39" s="13"/>
    </row>
    <row r="40" customHeight="1" spans="1:6">
      <c r="A40" s="10">
        <v>1</v>
      </c>
      <c r="B40" s="11" t="s">
        <v>837</v>
      </c>
      <c r="C40" s="4" t="s">
        <v>838</v>
      </c>
      <c r="D40" s="10" t="s">
        <v>124</v>
      </c>
      <c r="E40" s="356">
        <v>270000</v>
      </c>
      <c r="F40" s="13"/>
    </row>
    <row r="41" customHeight="1" spans="1:6">
      <c r="A41" s="10">
        <v>2</v>
      </c>
      <c r="B41" s="11" t="s">
        <v>138</v>
      </c>
      <c r="C41" s="4" t="s">
        <v>552</v>
      </c>
      <c r="D41" s="10" t="s">
        <v>506</v>
      </c>
      <c r="E41" s="356">
        <f>180000</f>
        <v>180000</v>
      </c>
      <c r="F41" s="13"/>
    </row>
    <row r="42" customHeight="1" spans="1:6">
      <c r="A42" s="10">
        <v>3</v>
      </c>
      <c r="B42" s="11" t="s">
        <v>839</v>
      </c>
      <c r="C42" s="4" t="s">
        <v>43</v>
      </c>
      <c r="D42" s="10" t="s">
        <v>38</v>
      </c>
      <c r="E42" s="356">
        <v>126000</v>
      </c>
      <c r="F42" s="13"/>
    </row>
    <row r="43" customHeight="1" spans="1:6">
      <c r="A43" s="10">
        <v>4</v>
      </c>
      <c r="B43" s="11" t="s">
        <v>141</v>
      </c>
      <c r="C43" s="4" t="s">
        <v>142</v>
      </c>
      <c r="D43" s="10" t="s">
        <v>38</v>
      </c>
      <c r="E43" s="356">
        <v>126000</v>
      </c>
      <c r="F43" s="13"/>
    </row>
    <row r="44" customHeight="1" spans="1:6">
      <c r="A44" s="10">
        <v>5</v>
      </c>
      <c r="B44" s="11" t="s">
        <v>143</v>
      </c>
      <c r="C44" s="4" t="s">
        <v>142</v>
      </c>
      <c r="D44" s="10" t="s">
        <v>49</v>
      </c>
      <c r="E44" s="356">
        <v>126000</v>
      </c>
      <c r="F44" s="13"/>
    </row>
    <row r="45" customHeight="1" spans="1:6">
      <c r="A45" s="10">
        <v>6</v>
      </c>
      <c r="B45" s="11" t="s">
        <v>144</v>
      </c>
      <c r="C45" s="4" t="s">
        <v>142</v>
      </c>
      <c r="D45" s="10" t="s">
        <v>41</v>
      </c>
      <c r="E45" s="356">
        <v>126000</v>
      </c>
      <c r="F45" s="13"/>
    </row>
    <row r="46" customHeight="1" spans="1:6">
      <c r="A46" s="10">
        <v>7</v>
      </c>
      <c r="B46" s="14" t="s">
        <v>145</v>
      </c>
      <c r="C46" s="4" t="s">
        <v>51</v>
      </c>
      <c r="D46" s="16" t="s">
        <v>46</v>
      </c>
      <c r="E46" s="356">
        <v>90000</v>
      </c>
      <c r="F46" s="13"/>
    </row>
    <row r="47" customHeight="1" spans="1:6">
      <c r="A47" s="10">
        <v>8</v>
      </c>
      <c r="B47" s="11" t="s">
        <v>44</v>
      </c>
      <c r="C47" s="4" t="s">
        <v>45</v>
      </c>
      <c r="D47" s="10" t="s">
        <v>52</v>
      </c>
      <c r="E47" s="356">
        <v>90000</v>
      </c>
      <c r="F47" s="13"/>
    </row>
    <row r="48" customHeight="1" spans="1:6">
      <c r="A48" s="10">
        <v>9</v>
      </c>
      <c r="B48" s="11" t="s">
        <v>149</v>
      </c>
      <c r="C48" s="4" t="s">
        <v>150</v>
      </c>
      <c r="D48" s="10" t="s">
        <v>80</v>
      </c>
      <c r="E48" s="356">
        <v>54000</v>
      </c>
      <c r="F48" s="13"/>
    </row>
    <row r="49" customHeight="1" spans="1:6">
      <c r="A49" s="10">
        <v>10</v>
      </c>
      <c r="B49" s="11" t="s">
        <v>153</v>
      </c>
      <c r="C49" s="4" t="s">
        <v>150</v>
      </c>
      <c r="D49" s="10" t="s">
        <v>344</v>
      </c>
      <c r="E49" s="356">
        <v>54000</v>
      </c>
      <c r="F49" s="13"/>
    </row>
    <row r="50" customHeight="1" spans="1:6">
      <c r="A50" s="10">
        <v>11</v>
      </c>
      <c r="B50" s="11" t="s">
        <v>840</v>
      </c>
      <c r="C50" s="4" t="s">
        <v>150</v>
      </c>
      <c r="D50" s="10" t="s">
        <v>344</v>
      </c>
      <c r="E50" s="356">
        <v>54000</v>
      </c>
      <c r="F50" s="13"/>
    </row>
    <row r="51" customHeight="1" spans="1:6">
      <c r="A51" s="10">
        <v>12</v>
      </c>
      <c r="B51" s="11" t="s">
        <v>154</v>
      </c>
      <c r="C51" s="4" t="s">
        <v>150</v>
      </c>
      <c r="D51" s="10" t="s">
        <v>344</v>
      </c>
      <c r="E51" s="356">
        <v>54000</v>
      </c>
      <c r="F51" s="13"/>
    </row>
    <row r="52" ht="25.5" customHeight="1" spans="1:6">
      <c r="A52" s="10"/>
      <c r="B52" s="20" t="s">
        <v>120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156</v>
      </c>
      <c r="C54" s="21"/>
      <c r="D54" s="21"/>
      <c r="E54" s="361"/>
      <c r="F54" s="13"/>
    </row>
    <row r="55" customHeight="1" spans="1:6">
      <c r="A55" s="10">
        <v>1</v>
      </c>
      <c r="B55" s="11" t="s">
        <v>841</v>
      </c>
      <c r="C55" s="12" t="s">
        <v>158</v>
      </c>
      <c r="D55" s="15" t="s">
        <v>124</v>
      </c>
      <c r="E55" s="356">
        <v>270000</v>
      </c>
      <c r="F55" s="13"/>
    </row>
    <row r="56" customHeight="1" spans="1:6">
      <c r="A56" s="10">
        <v>2</v>
      </c>
      <c r="B56" s="11" t="s">
        <v>159</v>
      </c>
      <c r="C56" s="12" t="s">
        <v>160</v>
      </c>
      <c r="D56" s="15" t="s">
        <v>850</v>
      </c>
      <c r="E56" s="356">
        <v>126000</v>
      </c>
      <c r="F56" s="13"/>
    </row>
    <row r="57" customHeight="1" spans="1:6">
      <c r="A57" s="10"/>
      <c r="B57" s="20" t="s">
        <v>120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162</v>
      </c>
      <c r="C59" s="21"/>
      <c r="D59" s="21"/>
      <c r="E59" s="361"/>
      <c r="F59" s="13"/>
    </row>
    <row r="60" customHeight="1" spans="1:6">
      <c r="A60" s="10">
        <v>1</v>
      </c>
      <c r="B60" s="11" t="s">
        <v>842</v>
      </c>
      <c r="C60" s="17" t="s">
        <v>843</v>
      </c>
      <c r="D60" s="10" t="s">
        <v>124</v>
      </c>
      <c r="E60" s="356">
        <v>270000</v>
      </c>
      <c r="F60" s="13"/>
    </row>
    <row r="61" customHeight="1" spans="1:6">
      <c r="A61" s="10">
        <v>2</v>
      </c>
      <c r="B61" s="351" t="s">
        <v>844</v>
      </c>
      <c r="C61" s="17" t="s">
        <v>845</v>
      </c>
      <c r="D61" s="15" t="s">
        <v>1461</v>
      </c>
      <c r="E61" s="356">
        <v>126000</v>
      </c>
      <c r="F61" s="13"/>
    </row>
    <row r="62" customHeight="1" spans="1:6">
      <c r="A62" s="10">
        <v>3</v>
      </c>
      <c r="B62" s="11" t="s">
        <v>165</v>
      </c>
      <c r="C62" s="4" t="s">
        <v>51</v>
      </c>
      <c r="D62" s="10" t="s">
        <v>52</v>
      </c>
      <c r="E62" s="356">
        <v>90000</v>
      </c>
      <c r="F62" s="13"/>
    </row>
    <row r="63" customHeight="1" spans="1:6">
      <c r="A63" s="10">
        <v>4</v>
      </c>
      <c r="B63" s="18" t="s">
        <v>846</v>
      </c>
      <c r="C63" s="17" t="s">
        <v>167</v>
      </c>
      <c r="D63" s="15" t="s">
        <v>215</v>
      </c>
      <c r="E63" s="356">
        <v>90000</v>
      </c>
      <c r="F63" s="13"/>
    </row>
    <row r="64" customHeight="1" spans="1:6">
      <c r="A64" s="10">
        <v>5</v>
      </c>
      <c r="B64" s="14" t="s">
        <v>847</v>
      </c>
      <c r="C64" s="17" t="s">
        <v>51</v>
      </c>
      <c r="D64" s="15" t="s">
        <v>46</v>
      </c>
      <c r="E64" s="356">
        <v>90000</v>
      </c>
      <c r="F64" s="13"/>
    </row>
    <row r="65" customHeight="1" spans="1:6">
      <c r="A65" s="10">
        <v>7</v>
      </c>
      <c r="B65" s="11" t="s">
        <v>169</v>
      </c>
      <c r="C65" s="4" t="s">
        <v>150</v>
      </c>
      <c r="D65" s="10" t="s">
        <v>504</v>
      </c>
      <c r="E65" s="356">
        <v>54000</v>
      </c>
      <c r="F65" s="13"/>
    </row>
    <row r="66" customHeight="1" spans="1:6">
      <c r="A66" s="10">
        <v>8</v>
      </c>
      <c r="B66" s="11" t="s">
        <v>171</v>
      </c>
      <c r="C66" s="17" t="s">
        <v>71</v>
      </c>
      <c r="D66" s="15" t="s">
        <v>504</v>
      </c>
      <c r="E66" s="356">
        <v>54000</v>
      </c>
      <c r="F66" s="13"/>
    </row>
    <row r="67" customHeight="1" spans="1:6">
      <c r="A67" s="10">
        <v>9</v>
      </c>
      <c r="B67" s="11" t="s">
        <v>172</v>
      </c>
      <c r="C67" s="17" t="s">
        <v>71</v>
      </c>
      <c r="D67" s="15" t="s">
        <v>504</v>
      </c>
      <c r="E67" s="356">
        <v>54000</v>
      </c>
      <c r="F67" s="13"/>
    </row>
    <row r="68" customHeight="1" spans="1:6">
      <c r="A68" s="10">
        <v>10</v>
      </c>
      <c r="B68" s="11" t="s">
        <v>173</v>
      </c>
      <c r="C68" s="4" t="s">
        <v>553</v>
      </c>
      <c r="D68" s="10" t="s">
        <v>131</v>
      </c>
      <c r="E68" s="356">
        <v>54000</v>
      </c>
      <c r="F68" s="13"/>
    </row>
    <row r="69" ht="21.6" customHeight="1" spans="1:5">
      <c r="A69" s="10">
        <v>11</v>
      </c>
      <c r="B69" s="11" t="s">
        <v>177</v>
      </c>
      <c r="C69" s="4" t="s">
        <v>150</v>
      </c>
      <c r="D69" s="10" t="s">
        <v>80</v>
      </c>
      <c r="E69" s="356">
        <v>54000</v>
      </c>
    </row>
    <row r="70" customHeight="1" spans="1:6">
      <c r="A70" s="10">
        <v>12</v>
      </c>
      <c r="B70" s="11" t="s">
        <v>81</v>
      </c>
      <c r="C70" s="17" t="s">
        <v>68</v>
      </c>
      <c r="D70" s="10" t="s">
        <v>99</v>
      </c>
      <c r="E70" s="356">
        <v>54000</v>
      </c>
      <c r="F70" s="13"/>
    </row>
    <row r="71" ht="27" customHeight="1" spans="1:6">
      <c r="A71" s="10"/>
      <c r="B71" s="20" t="s">
        <v>120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180</v>
      </c>
      <c r="C73" s="21"/>
      <c r="D73" s="21"/>
      <c r="E73" s="361"/>
      <c r="F73" s="13"/>
    </row>
    <row r="74" customHeight="1" spans="1:6">
      <c r="A74" s="10">
        <v>1</v>
      </c>
      <c r="B74" s="11" t="s">
        <v>181</v>
      </c>
      <c r="C74" s="4" t="s">
        <v>182</v>
      </c>
      <c r="D74" s="10" t="s">
        <v>124</v>
      </c>
      <c r="E74" s="356">
        <v>270000</v>
      </c>
      <c r="F74" s="13"/>
    </row>
    <row r="75" customHeight="1" spans="1:6">
      <c r="A75" s="10">
        <v>2</v>
      </c>
      <c r="B75" s="14" t="s">
        <v>848</v>
      </c>
      <c r="C75" s="4" t="s">
        <v>849</v>
      </c>
      <c r="D75" s="15" t="s">
        <v>1461</v>
      </c>
      <c r="E75" s="356">
        <v>126000</v>
      </c>
      <c r="F75" s="13"/>
    </row>
    <row r="76" customHeight="1" spans="1:6">
      <c r="A76" s="10">
        <v>3</v>
      </c>
      <c r="B76" s="18" t="s">
        <v>183</v>
      </c>
      <c r="C76" s="12" t="s">
        <v>851</v>
      </c>
      <c r="D76" s="10" t="s">
        <v>850</v>
      </c>
      <c r="E76" s="356">
        <v>126000</v>
      </c>
      <c r="F76" s="13"/>
    </row>
    <row r="77" customHeight="1" spans="1:6">
      <c r="A77" s="10">
        <v>4</v>
      </c>
      <c r="B77" s="11" t="s">
        <v>187</v>
      </c>
      <c r="C77" s="4" t="s">
        <v>188</v>
      </c>
      <c r="D77" s="15" t="s">
        <v>52</v>
      </c>
      <c r="E77" s="356">
        <v>90000</v>
      </c>
      <c r="F77" s="13"/>
    </row>
    <row r="78" customHeight="1" spans="1:6">
      <c r="A78" s="10">
        <v>5</v>
      </c>
      <c r="B78" s="11" t="s">
        <v>194</v>
      </c>
      <c r="C78" s="4" t="s">
        <v>179</v>
      </c>
      <c r="D78" s="10" t="s">
        <v>74</v>
      </c>
      <c r="E78" s="356">
        <v>54000</v>
      </c>
      <c r="F78" s="13"/>
    </row>
    <row r="79" customHeight="1" spans="1:6">
      <c r="A79" s="10">
        <v>6</v>
      </c>
      <c r="B79" s="11" t="s">
        <v>198</v>
      </c>
      <c r="C79" s="4" t="s">
        <v>179</v>
      </c>
      <c r="D79" s="10" t="s">
        <v>344</v>
      </c>
      <c r="E79" s="356">
        <v>54000</v>
      </c>
      <c r="F79" s="13"/>
    </row>
    <row r="80" customHeight="1" spans="1:6">
      <c r="A80" s="10">
        <v>7</v>
      </c>
      <c r="B80" s="11" t="s">
        <v>200</v>
      </c>
      <c r="C80" s="4" t="s">
        <v>201</v>
      </c>
      <c r="D80" s="10" t="s">
        <v>276</v>
      </c>
      <c r="E80" s="356">
        <v>54000</v>
      </c>
      <c r="F80" s="13"/>
    </row>
    <row r="81" customHeight="1" spans="1:6">
      <c r="A81" s="10"/>
      <c r="B81" s="20" t="s">
        <v>120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202</v>
      </c>
      <c r="C83" s="25"/>
      <c r="D83" s="21"/>
      <c r="E83" s="361"/>
      <c r="F83" s="13"/>
    </row>
    <row r="84" customHeight="1" spans="1:6">
      <c r="A84" s="10">
        <v>1</v>
      </c>
      <c r="B84" s="11" t="s">
        <v>205</v>
      </c>
      <c r="C84" s="4" t="s">
        <v>142</v>
      </c>
      <c r="D84" s="10" t="s">
        <v>38</v>
      </c>
      <c r="E84" s="356">
        <v>126000</v>
      </c>
      <c r="F84" s="13"/>
    </row>
    <row r="85" customHeight="1" spans="1:6">
      <c r="A85" s="10">
        <v>2</v>
      </c>
      <c r="B85" s="11" t="s">
        <v>203</v>
      </c>
      <c r="C85" s="4" t="s">
        <v>142</v>
      </c>
      <c r="D85" s="10" t="s">
        <v>38</v>
      </c>
      <c r="E85" s="356">
        <v>126000</v>
      </c>
      <c r="F85" s="13"/>
    </row>
    <row r="86" customHeight="1" spans="1:6">
      <c r="A86" s="10">
        <v>3</v>
      </c>
      <c r="B86" s="14" t="s">
        <v>163</v>
      </c>
      <c r="C86" s="4" t="s">
        <v>142</v>
      </c>
      <c r="D86" s="10" t="s">
        <v>41</v>
      </c>
      <c r="E86" s="356">
        <v>126000</v>
      </c>
      <c r="F86" s="13"/>
    </row>
    <row r="87" customHeight="1" spans="1:6">
      <c r="A87" s="10">
        <v>4</v>
      </c>
      <c r="B87" s="11" t="s">
        <v>208</v>
      </c>
      <c r="C87" s="4" t="s">
        <v>142</v>
      </c>
      <c r="D87" s="10" t="s">
        <v>41</v>
      </c>
      <c r="E87" s="356">
        <v>126000</v>
      </c>
      <c r="F87" s="13"/>
    </row>
    <row r="88" ht="21.6" customHeight="1" spans="1:6">
      <c r="A88" s="10">
        <v>5</v>
      </c>
      <c r="B88" s="11" t="s">
        <v>209</v>
      </c>
      <c r="C88" s="4" t="s">
        <v>852</v>
      </c>
      <c r="D88" s="15" t="s">
        <v>502</v>
      </c>
      <c r="E88" s="356">
        <v>90000</v>
      </c>
      <c r="F88" s="13"/>
    </row>
    <row r="89" ht="21.6" customHeight="1" spans="1:6">
      <c r="A89" s="10">
        <v>6</v>
      </c>
      <c r="B89" s="11" t="s">
        <v>210</v>
      </c>
      <c r="C89" s="12" t="s">
        <v>167</v>
      </c>
      <c r="D89" s="15" t="s">
        <v>215</v>
      </c>
      <c r="E89" s="356">
        <v>90000</v>
      </c>
      <c r="F89" s="13"/>
    </row>
    <row r="90" ht="21.6" customHeight="1" spans="1:6">
      <c r="A90" s="10">
        <v>7</v>
      </c>
      <c r="B90" s="11" t="s">
        <v>211</v>
      </c>
      <c r="C90" s="12" t="s">
        <v>51</v>
      </c>
      <c r="D90" s="15" t="s">
        <v>501</v>
      </c>
      <c r="E90" s="356">
        <v>90000</v>
      </c>
      <c r="F90" s="13"/>
    </row>
    <row r="91" ht="21.6" customHeight="1" spans="1:6">
      <c r="A91" s="10">
        <v>8</v>
      </c>
      <c r="B91" s="11" t="s">
        <v>213</v>
      </c>
      <c r="C91" s="17" t="s">
        <v>71</v>
      </c>
      <c r="D91" s="15" t="s">
        <v>504</v>
      </c>
      <c r="E91" s="356">
        <v>54000</v>
      </c>
      <c r="F91" s="13"/>
    </row>
    <row r="92" ht="21.6" customHeight="1" spans="1:6">
      <c r="A92" s="10">
        <v>9</v>
      </c>
      <c r="B92" s="11" t="s">
        <v>214</v>
      </c>
      <c r="C92" s="17" t="s">
        <v>71</v>
      </c>
      <c r="D92" s="15" t="s">
        <v>504</v>
      </c>
      <c r="E92" s="356">
        <v>54000</v>
      </c>
      <c r="F92" s="13"/>
    </row>
    <row r="93" ht="21.6" customHeight="1" spans="1:6">
      <c r="A93" s="10">
        <v>10</v>
      </c>
      <c r="B93" s="11" t="s">
        <v>217</v>
      </c>
      <c r="C93" s="4" t="s">
        <v>218</v>
      </c>
      <c r="D93" s="10" t="s">
        <v>80</v>
      </c>
      <c r="E93" s="356">
        <v>54000</v>
      </c>
      <c r="F93" s="13"/>
    </row>
    <row r="94" ht="21.6" customHeight="1" spans="1:6">
      <c r="A94" s="10">
        <v>11</v>
      </c>
      <c r="B94" s="11" t="s">
        <v>221</v>
      </c>
      <c r="C94" s="17" t="s">
        <v>222</v>
      </c>
      <c r="D94" s="15" t="s">
        <v>111</v>
      </c>
      <c r="E94" s="356">
        <v>54000</v>
      </c>
      <c r="F94" s="13"/>
    </row>
    <row r="95" customHeight="1" spans="1:6">
      <c r="A95" s="10"/>
      <c r="B95" s="20" t="s">
        <v>120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224</v>
      </c>
      <c r="C97" s="21"/>
      <c r="D97" s="21"/>
      <c r="E97" s="361"/>
      <c r="F97" s="13"/>
    </row>
    <row r="98" customHeight="1" spans="1:6">
      <c r="A98" s="10">
        <v>1</v>
      </c>
      <c r="B98" s="14" t="s">
        <v>225</v>
      </c>
      <c r="C98" s="4" t="s">
        <v>554</v>
      </c>
      <c r="D98" s="16" t="s">
        <v>207</v>
      </c>
      <c r="E98" s="356">
        <f>180000</f>
        <v>180000</v>
      </c>
      <c r="F98" s="13"/>
    </row>
    <row r="99" customHeight="1" spans="1:6">
      <c r="A99" s="10">
        <v>2</v>
      </c>
      <c r="B99" s="11" t="s">
        <v>227</v>
      </c>
      <c r="C99" s="4" t="s">
        <v>228</v>
      </c>
      <c r="D99" s="15" t="s">
        <v>52</v>
      </c>
      <c r="E99" s="356">
        <v>90000</v>
      </c>
      <c r="F99" s="13"/>
    </row>
    <row r="100" customHeight="1" spans="1:6">
      <c r="A100" s="10">
        <v>3</v>
      </c>
      <c r="B100" s="11" t="s">
        <v>233</v>
      </c>
      <c r="C100" s="4" t="s">
        <v>555</v>
      </c>
      <c r="D100" s="15" t="s">
        <v>131</v>
      </c>
      <c r="E100" s="356">
        <v>54000</v>
      </c>
      <c r="F100" s="13"/>
    </row>
    <row r="101" customHeight="1" spans="1:6">
      <c r="A101" s="10">
        <v>4</v>
      </c>
      <c r="B101" s="11" t="s">
        <v>234</v>
      </c>
      <c r="C101" s="4" t="s">
        <v>197</v>
      </c>
      <c r="D101" s="15" t="s">
        <v>80</v>
      </c>
      <c r="E101" s="356">
        <v>54000</v>
      </c>
      <c r="F101" s="13"/>
    </row>
    <row r="102" customHeight="1" spans="1:6">
      <c r="A102" s="4"/>
      <c r="B102" s="20" t="s">
        <v>120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237</v>
      </c>
      <c r="C104" s="4"/>
      <c r="D104" s="4"/>
      <c r="E104" s="362"/>
      <c r="F104" s="13"/>
    </row>
    <row r="105" customHeight="1" spans="1:6">
      <c r="A105" s="4">
        <v>1</v>
      </c>
      <c r="B105" s="11" t="s">
        <v>556</v>
      </c>
      <c r="C105" s="12" t="s">
        <v>239</v>
      </c>
      <c r="D105" s="15" t="s">
        <v>124</v>
      </c>
      <c r="E105" s="356">
        <v>270000</v>
      </c>
      <c r="F105" s="13"/>
    </row>
    <row r="106" customHeight="1" spans="1:6">
      <c r="A106" s="4">
        <v>2</v>
      </c>
      <c r="B106" s="11" t="s">
        <v>240</v>
      </c>
      <c r="C106" s="4" t="s">
        <v>241</v>
      </c>
      <c r="D106" s="16" t="s">
        <v>207</v>
      </c>
      <c r="E106" s="356">
        <v>180000</v>
      </c>
      <c r="F106" s="13"/>
    </row>
    <row r="107" customHeight="1" spans="1:6">
      <c r="A107" s="4">
        <v>3</v>
      </c>
      <c r="B107" s="11" t="s">
        <v>242</v>
      </c>
      <c r="C107" s="4" t="s">
        <v>557</v>
      </c>
      <c r="D107" s="10" t="s">
        <v>55</v>
      </c>
      <c r="E107" s="356">
        <v>90000</v>
      </c>
      <c r="F107" s="13"/>
    </row>
    <row r="108" customHeight="1" spans="1:6">
      <c r="A108" s="4">
        <v>4</v>
      </c>
      <c r="B108" s="11" t="s">
        <v>244</v>
      </c>
      <c r="C108" s="4" t="s">
        <v>557</v>
      </c>
      <c r="D108" s="10" t="s">
        <v>55</v>
      </c>
      <c r="E108" s="356">
        <v>90000</v>
      </c>
      <c r="F108" s="13"/>
    </row>
    <row r="109" customHeight="1" spans="1:6">
      <c r="A109" s="4">
        <v>5</v>
      </c>
      <c r="B109" s="11" t="s">
        <v>247</v>
      </c>
      <c r="C109" s="4" t="s">
        <v>248</v>
      </c>
      <c r="D109" s="15" t="s">
        <v>223</v>
      </c>
      <c r="E109" s="363">
        <v>54000</v>
      </c>
      <c r="F109" s="13"/>
    </row>
    <row r="110" customHeight="1" spans="1:6">
      <c r="A110" s="4">
        <v>6</v>
      </c>
      <c r="B110" s="18" t="s">
        <v>250</v>
      </c>
      <c r="C110" s="4" t="s">
        <v>248</v>
      </c>
      <c r="D110" s="10" t="s">
        <v>105</v>
      </c>
      <c r="E110" s="363">
        <v>54000</v>
      </c>
      <c r="F110" s="13"/>
    </row>
    <row r="111" customHeight="1" spans="1:6">
      <c r="A111" s="4">
        <v>7</v>
      </c>
      <c r="B111" s="18" t="s">
        <v>251</v>
      </c>
      <c r="C111" s="4" t="s">
        <v>248</v>
      </c>
      <c r="D111" s="15" t="s">
        <v>111</v>
      </c>
      <c r="E111" s="363">
        <v>54000</v>
      </c>
      <c r="F111" s="13"/>
    </row>
    <row r="112" ht="25.5" customHeight="1" spans="1:6">
      <c r="A112" s="4"/>
      <c r="B112" s="20" t="s">
        <v>120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255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257</v>
      </c>
      <c r="C115" s="4" t="s">
        <v>258</v>
      </c>
      <c r="D115" s="15" t="s">
        <v>131</v>
      </c>
      <c r="E115" s="356">
        <v>54000</v>
      </c>
      <c r="F115" s="13"/>
    </row>
    <row r="116" customHeight="1" spans="1:6">
      <c r="A116" s="10">
        <v>2</v>
      </c>
      <c r="B116" s="11" t="s">
        <v>190</v>
      </c>
      <c r="C116" s="12" t="s">
        <v>854</v>
      </c>
      <c r="D116" s="15" t="s">
        <v>69</v>
      </c>
      <c r="E116" s="356">
        <v>54000</v>
      </c>
      <c r="F116" s="13"/>
    </row>
    <row r="117" ht="24.75" customHeight="1" spans="1:6">
      <c r="A117" s="4"/>
      <c r="B117" s="20" t="s">
        <v>120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279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280</v>
      </c>
      <c r="C120" s="12" t="s">
        <v>281</v>
      </c>
      <c r="D120" s="15" t="s">
        <v>124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282</v>
      </c>
      <c r="C121" s="12" t="s">
        <v>558</v>
      </c>
      <c r="D121" s="15" t="s">
        <v>506</v>
      </c>
      <c r="E121" s="356">
        <v>180000</v>
      </c>
      <c r="F121" s="13"/>
    </row>
    <row r="122" customHeight="1" spans="1:6">
      <c r="A122" s="4">
        <v>3</v>
      </c>
      <c r="B122" s="14" t="s">
        <v>284</v>
      </c>
      <c r="C122" s="12" t="s">
        <v>559</v>
      </c>
      <c r="D122" s="15" t="s">
        <v>38</v>
      </c>
      <c r="E122" s="356">
        <v>126000</v>
      </c>
      <c r="F122" s="13"/>
    </row>
    <row r="123" customHeight="1" spans="1:6">
      <c r="A123" s="4">
        <v>4</v>
      </c>
      <c r="B123" s="14" t="s">
        <v>855</v>
      </c>
      <c r="C123" s="12" t="s">
        <v>559</v>
      </c>
      <c r="D123" s="15" t="s">
        <v>41</v>
      </c>
      <c r="E123" s="356">
        <v>126000</v>
      </c>
      <c r="F123" s="13"/>
    </row>
    <row r="124" customHeight="1" spans="1:6">
      <c r="A124" s="4">
        <v>5</v>
      </c>
      <c r="B124" s="11" t="s">
        <v>287</v>
      </c>
      <c r="C124" s="12" t="s">
        <v>289</v>
      </c>
      <c r="D124" s="15" t="s">
        <v>212</v>
      </c>
      <c r="E124" s="356">
        <v>90000</v>
      </c>
      <c r="F124" s="13"/>
    </row>
    <row r="125" customHeight="1" spans="1:6">
      <c r="A125" s="4">
        <v>6</v>
      </c>
      <c r="B125" s="11" t="s">
        <v>288</v>
      </c>
      <c r="C125" s="12" t="s">
        <v>560</v>
      </c>
      <c r="D125" s="15" t="s">
        <v>52</v>
      </c>
      <c r="E125" s="356">
        <v>90000</v>
      </c>
      <c r="F125" s="13"/>
    </row>
    <row r="126" customHeight="1" spans="1:6">
      <c r="A126" s="4">
        <v>7</v>
      </c>
      <c r="B126" s="11" t="s">
        <v>290</v>
      </c>
      <c r="C126" s="12" t="s">
        <v>289</v>
      </c>
      <c r="D126" s="15" t="s">
        <v>52</v>
      </c>
      <c r="E126" s="356">
        <v>90000</v>
      </c>
      <c r="F126" s="13"/>
    </row>
    <row r="127" customHeight="1" spans="1:6">
      <c r="A127" s="4">
        <v>8</v>
      </c>
      <c r="B127" s="11" t="s">
        <v>293</v>
      </c>
      <c r="C127" s="12" t="s">
        <v>561</v>
      </c>
      <c r="D127" s="10" t="s">
        <v>99</v>
      </c>
      <c r="E127" s="356">
        <v>54000</v>
      </c>
      <c r="F127" s="13"/>
    </row>
    <row r="128" customHeight="1" spans="1:6">
      <c r="A128" s="4">
        <v>9</v>
      </c>
      <c r="B128" s="18" t="s">
        <v>295</v>
      </c>
      <c r="C128" s="12" t="s">
        <v>296</v>
      </c>
      <c r="D128" s="15" t="s">
        <v>276</v>
      </c>
      <c r="E128" s="356">
        <v>54000</v>
      </c>
      <c r="F128" s="13"/>
    </row>
    <row r="129" customHeight="1" spans="1:6">
      <c r="A129" s="4">
        <v>10</v>
      </c>
      <c r="B129" s="18" t="s">
        <v>297</v>
      </c>
      <c r="C129" s="12" t="s">
        <v>292</v>
      </c>
      <c r="D129" s="15" t="s">
        <v>276</v>
      </c>
      <c r="E129" s="356">
        <v>54000</v>
      </c>
      <c r="F129" s="13"/>
    </row>
    <row r="130" ht="28.5" customHeight="1" spans="1:6">
      <c r="A130" s="4"/>
      <c r="B130" s="20" t="s">
        <v>120</v>
      </c>
      <c r="C130" s="26" t="s">
        <v>562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300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856</v>
      </c>
      <c r="C133" s="12" t="s">
        <v>857</v>
      </c>
      <c r="D133" s="15" t="s">
        <v>124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858</v>
      </c>
      <c r="C134" s="12" t="s">
        <v>859</v>
      </c>
      <c r="D134" s="15" t="s">
        <v>35</v>
      </c>
      <c r="E134" s="356">
        <v>180000</v>
      </c>
      <c r="F134" s="13"/>
    </row>
    <row r="135" customHeight="1" spans="1:6">
      <c r="A135" s="27">
        <v>3</v>
      </c>
      <c r="B135" s="14" t="s">
        <v>304</v>
      </c>
      <c r="C135" s="4" t="s">
        <v>305</v>
      </c>
      <c r="D135" s="16" t="s">
        <v>207</v>
      </c>
      <c r="E135" s="356">
        <v>180000</v>
      </c>
      <c r="F135" s="13"/>
    </row>
    <row r="136" customHeight="1" spans="1:6">
      <c r="A136" s="27">
        <v>4</v>
      </c>
      <c r="B136" s="11" t="s">
        <v>306</v>
      </c>
      <c r="C136" s="12" t="s">
        <v>860</v>
      </c>
      <c r="D136" s="15" t="s">
        <v>46</v>
      </c>
      <c r="E136" s="356">
        <v>90000</v>
      </c>
      <c r="F136" s="13"/>
    </row>
    <row r="137" customHeight="1" spans="1:6">
      <c r="A137" s="27">
        <v>5</v>
      </c>
      <c r="B137" s="11" t="s">
        <v>308</v>
      </c>
      <c r="C137" s="4" t="s">
        <v>312</v>
      </c>
      <c r="D137" s="15" t="s">
        <v>46</v>
      </c>
      <c r="E137" s="356">
        <v>90000</v>
      </c>
      <c r="F137" s="13"/>
    </row>
    <row r="138" customHeight="1" spans="1:6">
      <c r="A138" s="27">
        <v>6</v>
      </c>
      <c r="B138" s="11" t="s">
        <v>310</v>
      </c>
      <c r="C138" s="4" t="s">
        <v>312</v>
      </c>
      <c r="D138" s="15" t="s">
        <v>46</v>
      </c>
      <c r="E138" s="356">
        <v>90000</v>
      </c>
      <c r="F138" s="13"/>
    </row>
    <row r="139" customHeight="1" spans="1:6">
      <c r="A139" s="27">
        <v>7</v>
      </c>
      <c r="B139" s="11" t="s">
        <v>229</v>
      </c>
      <c r="C139" s="12" t="s">
        <v>861</v>
      </c>
      <c r="D139" s="15" t="s">
        <v>69</v>
      </c>
      <c r="E139" s="356">
        <v>54000</v>
      </c>
      <c r="F139" s="13"/>
    </row>
    <row r="140" customHeight="1" spans="1:6">
      <c r="A140" s="27">
        <v>8</v>
      </c>
      <c r="B140" s="11" t="s">
        <v>313</v>
      </c>
      <c r="C140" s="12" t="s">
        <v>861</v>
      </c>
      <c r="D140" s="15" t="s">
        <v>69</v>
      </c>
      <c r="E140" s="356">
        <v>54000</v>
      </c>
      <c r="F140" s="13"/>
    </row>
    <row r="141" customHeight="1" spans="1:6">
      <c r="A141" s="27">
        <v>9</v>
      </c>
      <c r="B141" s="11" t="s">
        <v>314</v>
      </c>
      <c r="C141" s="4" t="s">
        <v>862</v>
      </c>
      <c r="D141" s="15" t="s">
        <v>69</v>
      </c>
      <c r="E141" s="356">
        <v>54000</v>
      </c>
      <c r="F141" s="13"/>
    </row>
    <row r="142" customHeight="1" spans="1:6">
      <c r="A142" s="27">
        <v>10</v>
      </c>
      <c r="B142" s="11" t="s">
        <v>316</v>
      </c>
      <c r="C142" s="12" t="s">
        <v>564</v>
      </c>
      <c r="D142" s="15" t="s">
        <v>131</v>
      </c>
      <c r="E142" s="356">
        <v>54000</v>
      </c>
      <c r="F142" s="13"/>
    </row>
    <row r="143" customHeight="1" spans="1:6">
      <c r="A143" s="27">
        <v>11</v>
      </c>
      <c r="B143" s="11" t="s">
        <v>318</v>
      </c>
      <c r="C143" s="12" t="s">
        <v>319</v>
      </c>
      <c r="D143" s="15" t="s">
        <v>504</v>
      </c>
      <c r="E143" s="356">
        <v>54000</v>
      </c>
      <c r="F143" s="13"/>
    </row>
    <row r="144" customHeight="1" spans="1:6">
      <c r="A144" s="27">
        <v>12</v>
      </c>
      <c r="B144" s="11" t="s">
        <v>61</v>
      </c>
      <c r="C144" s="12" t="s">
        <v>863</v>
      </c>
      <c r="D144" s="15" t="s">
        <v>69</v>
      </c>
      <c r="E144" s="356">
        <v>54000</v>
      </c>
      <c r="F144" s="13"/>
    </row>
    <row r="145" customHeight="1" spans="1:6">
      <c r="A145" s="27">
        <v>13</v>
      </c>
      <c r="B145" s="18" t="s">
        <v>320</v>
      </c>
      <c r="C145" s="4" t="s">
        <v>321</v>
      </c>
      <c r="D145" s="15" t="s">
        <v>504</v>
      </c>
      <c r="E145" s="356">
        <v>54000</v>
      </c>
      <c r="F145" s="13"/>
    </row>
    <row r="146" customHeight="1" spans="1:6">
      <c r="A146" s="27">
        <v>14</v>
      </c>
      <c r="B146" s="11" t="s">
        <v>322</v>
      </c>
      <c r="C146" s="4" t="s">
        <v>864</v>
      </c>
      <c r="D146" s="15" t="s">
        <v>74</v>
      </c>
      <c r="E146" s="356">
        <v>54000</v>
      </c>
      <c r="F146" s="13"/>
    </row>
    <row r="147" customHeight="1" spans="1:6">
      <c r="A147" s="27">
        <v>15</v>
      </c>
      <c r="B147" s="11" t="s">
        <v>323</v>
      </c>
      <c r="C147" s="4" t="s">
        <v>864</v>
      </c>
      <c r="D147" s="15" t="s">
        <v>77</v>
      </c>
      <c r="E147" s="356">
        <v>54000</v>
      </c>
      <c r="F147" s="13"/>
    </row>
    <row r="148" customHeight="1" spans="1:6">
      <c r="A148" s="27">
        <v>16</v>
      </c>
      <c r="B148" s="11" t="s">
        <v>325</v>
      </c>
      <c r="C148" s="4" t="s">
        <v>864</v>
      </c>
      <c r="D148" s="15" t="s">
        <v>77</v>
      </c>
      <c r="E148" s="356">
        <v>54000</v>
      </c>
      <c r="F148" s="13"/>
    </row>
    <row r="149" customHeight="1" spans="1:6">
      <c r="A149" s="27">
        <v>17</v>
      </c>
      <c r="B149" s="11" t="s">
        <v>326</v>
      </c>
      <c r="C149" s="12" t="s">
        <v>327</v>
      </c>
      <c r="D149" s="15" t="s">
        <v>80</v>
      </c>
      <c r="E149" s="356">
        <v>54000</v>
      </c>
      <c r="F149" s="13"/>
    </row>
    <row r="150" customHeight="1" spans="1:6">
      <c r="A150" s="27">
        <v>18</v>
      </c>
      <c r="B150" s="11" t="s">
        <v>1462</v>
      </c>
      <c r="C150" s="12" t="s">
        <v>329</v>
      </c>
      <c r="D150" s="10" t="s">
        <v>344</v>
      </c>
      <c r="E150" s="356">
        <v>54000</v>
      </c>
      <c r="F150" s="13"/>
    </row>
    <row r="151" customHeight="1" spans="1:6">
      <c r="A151" s="27">
        <v>19</v>
      </c>
      <c r="B151" s="11" t="s">
        <v>330</v>
      </c>
      <c r="C151" s="12" t="s">
        <v>565</v>
      </c>
      <c r="D151" s="15" t="s">
        <v>74</v>
      </c>
      <c r="E151" s="356">
        <v>54000</v>
      </c>
      <c r="F151" s="13"/>
    </row>
    <row r="152" customHeight="1" spans="1:6">
      <c r="A152" s="27">
        <v>20</v>
      </c>
      <c r="B152" s="11" t="s">
        <v>332</v>
      </c>
      <c r="C152" s="12" t="s">
        <v>566</v>
      </c>
      <c r="D152" s="15" t="s">
        <v>99</v>
      </c>
      <c r="E152" s="356">
        <v>54000</v>
      </c>
      <c r="F152" s="13"/>
    </row>
    <row r="153" customHeight="1" spans="1:6">
      <c r="A153" s="27">
        <v>21</v>
      </c>
      <c r="B153" s="11" t="s">
        <v>334</v>
      </c>
      <c r="C153" s="12" t="s">
        <v>567</v>
      </c>
      <c r="D153" s="15" t="s">
        <v>74</v>
      </c>
      <c r="E153" s="356">
        <v>54000</v>
      </c>
      <c r="F153" s="13"/>
    </row>
    <row r="154" customHeight="1" spans="1:6">
      <c r="A154" s="27">
        <v>22</v>
      </c>
      <c r="B154" s="11" t="s">
        <v>335</v>
      </c>
      <c r="C154" s="12" t="s">
        <v>568</v>
      </c>
      <c r="D154" s="15" t="s">
        <v>99</v>
      </c>
      <c r="E154" s="356">
        <v>54000</v>
      </c>
      <c r="F154" s="13"/>
    </row>
    <row r="155" customHeight="1" spans="1:6">
      <c r="A155" s="27">
        <v>23</v>
      </c>
      <c r="B155" s="18" t="s">
        <v>337</v>
      </c>
      <c r="C155" s="12" t="s">
        <v>338</v>
      </c>
      <c r="D155" s="15" t="s">
        <v>344</v>
      </c>
      <c r="E155" s="356">
        <v>54000</v>
      </c>
      <c r="F155" s="13"/>
    </row>
    <row r="156" customHeight="1" spans="1:6">
      <c r="A156" s="27">
        <v>24</v>
      </c>
      <c r="B156" s="18" t="s">
        <v>345</v>
      </c>
      <c r="C156" s="12" t="s">
        <v>346</v>
      </c>
      <c r="D156" s="15" t="s">
        <v>276</v>
      </c>
      <c r="E156" s="356">
        <v>54000</v>
      </c>
      <c r="F156" s="13"/>
    </row>
    <row r="157" customHeight="1" spans="1:6">
      <c r="A157" s="27">
        <v>25</v>
      </c>
      <c r="B157" s="18" t="s">
        <v>347</v>
      </c>
      <c r="C157" s="12" t="s">
        <v>348</v>
      </c>
      <c r="D157" s="15" t="s">
        <v>276</v>
      </c>
      <c r="E157" s="356">
        <v>54000</v>
      </c>
      <c r="F157" s="13"/>
    </row>
    <row r="158" customHeight="1" spans="1:6">
      <c r="A158" s="27">
        <v>26</v>
      </c>
      <c r="B158" s="18" t="s">
        <v>349</v>
      </c>
      <c r="C158" s="12" t="s">
        <v>350</v>
      </c>
      <c r="D158" s="15" t="s">
        <v>276</v>
      </c>
      <c r="E158" s="356">
        <v>54000</v>
      </c>
      <c r="F158" s="13"/>
    </row>
    <row r="159" customHeight="1" spans="1:6">
      <c r="A159" s="27">
        <v>27</v>
      </c>
      <c r="B159" s="18" t="s">
        <v>351</v>
      </c>
      <c r="C159" s="12" t="s">
        <v>569</v>
      </c>
      <c r="D159" s="15" t="s">
        <v>111</v>
      </c>
      <c r="E159" s="356">
        <v>54000</v>
      </c>
      <c r="F159" s="13"/>
    </row>
    <row r="160" customHeight="1" spans="1:6">
      <c r="A160" s="27">
        <v>28</v>
      </c>
      <c r="B160" s="18" t="s">
        <v>352</v>
      </c>
      <c r="C160" s="12" t="s">
        <v>348</v>
      </c>
      <c r="D160" s="15" t="s">
        <v>276</v>
      </c>
      <c r="E160" s="356">
        <v>54000</v>
      </c>
      <c r="F160" s="13"/>
    </row>
    <row r="161" customHeight="1" spans="1:6">
      <c r="A161" s="27">
        <v>29</v>
      </c>
      <c r="B161" s="11" t="s">
        <v>361</v>
      </c>
      <c r="C161" s="12" t="s">
        <v>362</v>
      </c>
      <c r="D161" s="15" t="s">
        <v>381</v>
      </c>
      <c r="E161" s="366">
        <v>36000</v>
      </c>
      <c r="F161" s="13"/>
    </row>
    <row r="162" customHeight="1" spans="1:6">
      <c r="A162" s="27">
        <v>30</v>
      </c>
      <c r="B162" s="11" t="s">
        <v>364</v>
      </c>
      <c r="C162" s="12" t="s">
        <v>362</v>
      </c>
      <c r="D162" s="15" t="s">
        <v>381</v>
      </c>
      <c r="E162" s="366">
        <v>36000</v>
      </c>
      <c r="F162" s="13"/>
    </row>
    <row r="163" customHeight="1" spans="1:6">
      <c r="A163" s="27">
        <v>31</v>
      </c>
      <c r="B163" s="11" t="s">
        <v>570</v>
      </c>
      <c r="C163" s="12" t="s">
        <v>362</v>
      </c>
      <c r="D163" s="15" t="s">
        <v>381</v>
      </c>
      <c r="E163" s="366">
        <v>36000</v>
      </c>
      <c r="F163" s="13"/>
    </row>
    <row r="164" customHeight="1" spans="1:6">
      <c r="A164" s="27">
        <v>32</v>
      </c>
      <c r="B164" s="11" t="s">
        <v>365</v>
      </c>
      <c r="C164" s="12" t="s">
        <v>362</v>
      </c>
      <c r="D164" s="15" t="s">
        <v>381</v>
      </c>
      <c r="E164" s="366">
        <v>36000</v>
      </c>
      <c r="F164" s="13"/>
    </row>
    <row r="165" customHeight="1" spans="1:6">
      <c r="A165" s="27">
        <v>33</v>
      </c>
      <c r="B165" s="11" t="s">
        <v>366</v>
      </c>
      <c r="C165" s="12" t="s">
        <v>362</v>
      </c>
      <c r="D165" s="15" t="s">
        <v>381</v>
      </c>
      <c r="E165" s="366">
        <v>36000</v>
      </c>
      <c r="F165" s="13"/>
    </row>
    <row r="166" customHeight="1" spans="1:6">
      <c r="A166" s="27">
        <v>34</v>
      </c>
      <c r="B166" s="11" t="s">
        <v>367</v>
      </c>
      <c r="C166" s="12" t="s">
        <v>362</v>
      </c>
      <c r="D166" s="15" t="s">
        <v>510</v>
      </c>
      <c r="E166" s="366">
        <v>36000</v>
      </c>
      <c r="F166" s="13"/>
    </row>
    <row r="167" customHeight="1" spans="1:6">
      <c r="A167" s="27">
        <v>35</v>
      </c>
      <c r="B167" s="11" t="s">
        <v>369</v>
      </c>
      <c r="C167" s="12" t="s">
        <v>362</v>
      </c>
      <c r="D167" s="15" t="s">
        <v>510</v>
      </c>
      <c r="E167" s="366">
        <v>36000</v>
      </c>
      <c r="F167" s="13"/>
    </row>
    <row r="168" customHeight="1" spans="1:6">
      <c r="A168" s="27">
        <v>36</v>
      </c>
      <c r="B168" s="14" t="s">
        <v>370</v>
      </c>
      <c r="C168" s="12" t="s">
        <v>362</v>
      </c>
      <c r="D168" s="15" t="s">
        <v>510</v>
      </c>
      <c r="E168" s="366">
        <v>36000</v>
      </c>
      <c r="F168" s="13"/>
    </row>
    <row r="169" customHeight="1" spans="1:6">
      <c r="A169" s="27">
        <v>37</v>
      </c>
      <c r="B169" s="11" t="s">
        <v>371</v>
      </c>
      <c r="C169" s="12" t="s">
        <v>362</v>
      </c>
      <c r="D169" s="15" t="s">
        <v>510</v>
      </c>
      <c r="E169" s="366">
        <v>36000</v>
      </c>
      <c r="F169" s="13"/>
    </row>
    <row r="170" customHeight="1" spans="1:6">
      <c r="A170" s="27">
        <v>38</v>
      </c>
      <c r="B170" s="18" t="s">
        <v>372</v>
      </c>
      <c r="C170" s="12" t="s">
        <v>362</v>
      </c>
      <c r="D170" s="15" t="s">
        <v>510</v>
      </c>
      <c r="E170" s="366">
        <v>36000</v>
      </c>
      <c r="F170" s="13"/>
    </row>
    <row r="171" customHeight="1" spans="1:6">
      <c r="A171" s="27">
        <v>39</v>
      </c>
      <c r="B171" s="18" t="s">
        <v>359</v>
      </c>
      <c r="C171" s="12" t="s">
        <v>362</v>
      </c>
      <c r="D171" s="15" t="s">
        <v>510</v>
      </c>
      <c r="E171" s="366">
        <v>36000</v>
      </c>
      <c r="F171" s="13"/>
    </row>
    <row r="172" customHeight="1" spans="1:6">
      <c r="A172" s="27">
        <v>40</v>
      </c>
      <c r="B172" s="11" t="s">
        <v>373</v>
      </c>
      <c r="C172" s="12" t="s">
        <v>374</v>
      </c>
      <c r="D172" s="15" t="s">
        <v>511</v>
      </c>
      <c r="E172" s="366">
        <v>36000</v>
      </c>
      <c r="F172" s="13"/>
    </row>
    <row r="173" customHeight="1" spans="1:6">
      <c r="A173" s="27">
        <v>41</v>
      </c>
      <c r="B173" s="11" t="s">
        <v>376</v>
      </c>
      <c r="C173" s="12" t="s">
        <v>374</v>
      </c>
      <c r="D173" s="15" t="s">
        <v>511</v>
      </c>
      <c r="E173" s="366">
        <v>36000</v>
      </c>
      <c r="F173" s="13"/>
    </row>
    <row r="174" customHeight="1" spans="1:6">
      <c r="A174" s="27">
        <v>42</v>
      </c>
      <c r="B174" s="18" t="s">
        <v>377</v>
      </c>
      <c r="C174" s="12" t="s">
        <v>374</v>
      </c>
      <c r="D174" s="15" t="s">
        <v>511</v>
      </c>
      <c r="E174" s="366">
        <v>36000</v>
      </c>
      <c r="F174" s="13"/>
    </row>
    <row r="175" customHeight="1" spans="1:6">
      <c r="A175" s="27">
        <v>43</v>
      </c>
      <c r="B175" s="11" t="s">
        <v>379</v>
      </c>
      <c r="C175" s="12" t="s">
        <v>393</v>
      </c>
      <c r="D175" s="15" t="s">
        <v>408</v>
      </c>
      <c r="E175" s="366">
        <v>36000</v>
      </c>
      <c r="F175" s="13"/>
    </row>
    <row r="176" customHeight="1" spans="1:6">
      <c r="A176" s="27">
        <v>44</v>
      </c>
      <c r="B176" s="11" t="s">
        <v>382</v>
      </c>
      <c r="C176" s="12" t="s">
        <v>390</v>
      </c>
      <c r="D176" s="15" t="s">
        <v>1463</v>
      </c>
      <c r="E176" s="366">
        <v>36000</v>
      </c>
      <c r="F176" s="13"/>
    </row>
    <row r="177" customHeight="1" spans="1:6">
      <c r="A177" s="27">
        <v>45</v>
      </c>
      <c r="B177" s="11" t="s">
        <v>383</v>
      </c>
      <c r="C177" s="12" t="s">
        <v>390</v>
      </c>
      <c r="D177" s="15" t="s">
        <v>1463</v>
      </c>
      <c r="E177" s="366">
        <v>36000</v>
      </c>
      <c r="F177" s="13"/>
    </row>
    <row r="178" customHeight="1" spans="1:6">
      <c r="A178" s="27">
        <v>46</v>
      </c>
      <c r="B178" s="11" t="s">
        <v>384</v>
      </c>
      <c r="C178" s="12" t="s">
        <v>390</v>
      </c>
      <c r="D178" s="15" t="s">
        <v>1463</v>
      </c>
      <c r="E178" s="366">
        <v>36000</v>
      </c>
      <c r="F178" s="13"/>
    </row>
    <row r="179" customHeight="1" spans="1:6">
      <c r="A179" s="27">
        <v>47</v>
      </c>
      <c r="B179" s="11" t="s">
        <v>385</v>
      </c>
      <c r="C179" s="12" t="s">
        <v>390</v>
      </c>
      <c r="D179" s="15" t="s">
        <v>1463</v>
      </c>
      <c r="E179" s="366">
        <v>36000</v>
      </c>
      <c r="F179" s="13"/>
    </row>
    <row r="180" customHeight="1" spans="1:6">
      <c r="A180" s="27">
        <v>48</v>
      </c>
      <c r="B180" s="11" t="s">
        <v>386</v>
      </c>
      <c r="C180" s="12" t="s">
        <v>390</v>
      </c>
      <c r="D180" s="15" t="s">
        <v>1463</v>
      </c>
      <c r="E180" s="366">
        <v>36000</v>
      </c>
      <c r="F180" s="13"/>
    </row>
    <row r="181" customHeight="1" spans="1:6">
      <c r="A181" s="27">
        <v>49</v>
      </c>
      <c r="B181" s="18" t="s">
        <v>387</v>
      </c>
      <c r="C181" s="12" t="s">
        <v>390</v>
      </c>
      <c r="D181" s="15" t="s">
        <v>1463</v>
      </c>
      <c r="E181" s="366">
        <v>36000</v>
      </c>
      <c r="F181" s="13"/>
    </row>
    <row r="182" customHeight="1" spans="1:6">
      <c r="A182" s="27">
        <v>50</v>
      </c>
      <c r="B182" s="18" t="s">
        <v>389</v>
      </c>
      <c r="C182" s="12" t="s">
        <v>390</v>
      </c>
      <c r="D182" s="15" t="s">
        <v>1463</v>
      </c>
      <c r="E182" s="366">
        <v>36000</v>
      </c>
      <c r="F182" s="13"/>
    </row>
    <row r="183" customHeight="1" spans="1:6">
      <c r="A183" s="27">
        <v>51</v>
      </c>
      <c r="B183" s="11" t="s">
        <v>572</v>
      </c>
      <c r="C183" s="12" t="s">
        <v>393</v>
      </c>
      <c r="D183" s="15" t="s">
        <v>1463</v>
      </c>
      <c r="E183" s="366">
        <v>36000</v>
      </c>
      <c r="F183" s="13"/>
    </row>
    <row r="184" customHeight="1" spans="1:6">
      <c r="A184" s="27">
        <v>52</v>
      </c>
      <c r="B184" s="11" t="s">
        <v>392</v>
      </c>
      <c r="C184" s="12" t="s">
        <v>393</v>
      </c>
      <c r="D184" s="15" t="s">
        <v>1463</v>
      </c>
      <c r="E184" s="366">
        <v>36000</v>
      </c>
      <c r="F184" s="13"/>
    </row>
    <row r="185" customHeight="1" spans="1:6">
      <c r="A185" s="27">
        <v>53</v>
      </c>
      <c r="B185" s="18" t="s">
        <v>360</v>
      </c>
      <c r="C185" s="12" t="s">
        <v>395</v>
      </c>
      <c r="D185" s="15" t="s">
        <v>398</v>
      </c>
      <c r="E185" s="366">
        <v>36000</v>
      </c>
      <c r="F185" s="13"/>
    </row>
    <row r="186" customHeight="1" spans="1:6">
      <c r="A186" s="27">
        <v>54</v>
      </c>
      <c r="B186" s="18" t="s">
        <v>397</v>
      </c>
      <c r="C186" s="12" t="s">
        <v>390</v>
      </c>
      <c r="D186" s="15" t="s">
        <v>513</v>
      </c>
      <c r="E186" s="366">
        <v>36000</v>
      </c>
      <c r="F186" s="13"/>
    </row>
    <row r="187" customHeight="1" spans="1:6">
      <c r="A187" s="27">
        <v>55</v>
      </c>
      <c r="B187" s="18" t="s">
        <v>401</v>
      </c>
      <c r="C187" s="12" t="s">
        <v>402</v>
      </c>
      <c r="D187" s="15" t="s">
        <v>1464</v>
      </c>
      <c r="E187" s="366">
        <v>36000</v>
      </c>
      <c r="F187" s="13"/>
    </row>
    <row r="188" customHeight="1" spans="1:6">
      <c r="A188" s="27">
        <v>56</v>
      </c>
      <c r="B188" s="18" t="s">
        <v>404</v>
      </c>
      <c r="C188" s="12" t="s">
        <v>402</v>
      </c>
      <c r="D188" s="15" t="s">
        <v>1464</v>
      </c>
      <c r="E188" s="366">
        <v>36000</v>
      </c>
      <c r="F188" s="13"/>
    </row>
    <row r="189" customHeight="1" spans="1:6">
      <c r="A189" s="27">
        <v>57</v>
      </c>
      <c r="B189" s="18" t="s">
        <v>405</v>
      </c>
      <c r="C189" s="12" t="s">
        <v>402</v>
      </c>
      <c r="D189" s="15" t="s">
        <v>1464</v>
      </c>
      <c r="E189" s="366">
        <v>36000</v>
      </c>
      <c r="F189" s="13"/>
    </row>
    <row r="190" customHeight="1" spans="1:6">
      <c r="A190" s="27">
        <v>58</v>
      </c>
      <c r="B190" s="18" t="s">
        <v>406</v>
      </c>
      <c r="C190" s="12" t="s">
        <v>407</v>
      </c>
      <c r="D190" s="15" t="s">
        <v>400</v>
      </c>
      <c r="E190" s="366">
        <v>36000</v>
      </c>
      <c r="F190" s="13"/>
    </row>
    <row r="191" customHeight="1" spans="1:6">
      <c r="A191" s="27">
        <v>59</v>
      </c>
      <c r="B191" s="18" t="s">
        <v>409</v>
      </c>
      <c r="C191" s="12" t="s">
        <v>407</v>
      </c>
      <c r="D191" s="15" t="s">
        <v>400</v>
      </c>
      <c r="E191" s="366">
        <v>36000</v>
      </c>
      <c r="F191" s="13"/>
    </row>
    <row r="192" ht="24.75" customHeight="1" spans="1:6">
      <c r="A192" s="27"/>
      <c r="B192" s="8" t="s">
        <v>120</v>
      </c>
      <c r="C192" s="28" t="s">
        <v>866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411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1465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809</v>
      </c>
      <c r="F4" s="321" t="s">
        <v>996</v>
      </c>
    </row>
    <row r="5" ht="17.25" customHeight="1" spans="3:6">
      <c r="C5" s="8"/>
      <c r="D5" s="8"/>
      <c r="E5" s="307" t="s">
        <v>20</v>
      </c>
      <c r="F5" s="230" t="s">
        <v>20</v>
      </c>
    </row>
    <row r="6" customHeight="1" spans="1:6">
      <c r="A6" s="9" t="s">
        <v>21</v>
      </c>
      <c r="B6" s="8" t="s">
        <v>22</v>
      </c>
      <c r="C6" s="8"/>
      <c r="D6" s="8"/>
      <c r="E6" s="307"/>
      <c r="F6" s="230"/>
    </row>
    <row r="7" customHeight="1" spans="1:7">
      <c r="A7" s="10">
        <v>1</v>
      </c>
      <c r="B7" s="11" t="s">
        <v>23</v>
      </c>
      <c r="C7" s="12" t="s">
        <v>24</v>
      </c>
      <c r="D7" s="12" t="s">
        <v>25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26</v>
      </c>
      <c r="C8" s="12" t="s">
        <v>27</v>
      </c>
      <c r="D8" s="10" t="s">
        <v>28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29</v>
      </c>
      <c r="C9" s="4" t="s">
        <v>30</v>
      </c>
      <c r="D9" s="15" t="s">
        <v>207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31</v>
      </c>
      <c r="C10" s="17" t="s">
        <v>32</v>
      </c>
      <c r="D10" s="16" t="s">
        <v>207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301</v>
      </c>
      <c r="C11" s="4" t="s">
        <v>832</v>
      </c>
      <c r="D11" s="16" t="s">
        <v>207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833</v>
      </c>
      <c r="C12" s="10" t="s">
        <v>834</v>
      </c>
      <c r="D12" s="15" t="s">
        <v>207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33</v>
      </c>
      <c r="C13" s="12" t="s">
        <v>835</v>
      </c>
      <c r="D13" s="15" t="s">
        <v>38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36</v>
      </c>
      <c r="C14" s="4" t="s">
        <v>37</v>
      </c>
      <c r="D14" s="10" t="s">
        <v>41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39</v>
      </c>
      <c r="C15" s="4" t="s">
        <v>547</v>
      </c>
      <c r="D15" s="15" t="s">
        <v>46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42</v>
      </c>
      <c r="C16" s="17" t="s">
        <v>51</v>
      </c>
      <c r="D16" s="15" t="s">
        <v>212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47</v>
      </c>
      <c r="C17" s="4" t="s">
        <v>836</v>
      </c>
      <c r="D17" s="10" t="s">
        <v>55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50</v>
      </c>
      <c r="C18" s="12" t="s">
        <v>60</v>
      </c>
      <c r="D18" s="15" t="s">
        <v>215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53</v>
      </c>
      <c r="C19" s="4" t="s">
        <v>54</v>
      </c>
      <c r="D19" s="15" t="s">
        <v>503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64</v>
      </c>
      <c r="C20" s="12" t="s">
        <v>176</v>
      </c>
      <c r="D20" s="15" t="s">
        <v>131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67</v>
      </c>
      <c r="C21" s="17" t="s">
        <v>68</v>
      </c>
      <c r="D21" s="10" t="s">
        <v>504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72</v>
      </c>
      <c r="C22" s="17" t="s">
        <v>73</v>
      </c>
      <c r="D22" s="10" t="s">
        <v>80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485</v>
      </c>
      <c r="C23" s="4" t="s">
        <v>94</v>
      </c>
      <c r="D23" s="10" t="s">
        <v>99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78</v>
      </c>
      <c r="C24" s="12" t="s">
        <v>94</v>
      </c>
      <c r="D24" s="15" t="s">
        <v>99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83</v>
      </c>
      <c r="C25" s="12" t="s">
        <v>84</v>
      </c>
      <c r="D25" s="15" t="s">
        <v>344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86</v>
      </c>
      <c r="C26" s="4" t="s">
        <v>87</v>
      </c>
      <c r="D26" s="10" t="s">
        <v>344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91</v>
      </c>
      <c r="C27" s="17" t="s">
        <v>550</v>
      </c>
      <c r="D27" s="15" t="s">
        <v>99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95</v>
      </c>
      <c r="C28" s="4" t="s">
        <v>551</v>
      </c>
      <c r="D28" s="10" t="s">
        <v>111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1454</v>
      </c>
      <c r="C29" s="12" t="s">
        <v>104</v>
      </c>
      <c r="D29" s="15" t="s">
        <v>111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103</v>
      </c>
      <c r="C30" s="12" t="s">
        <v>104</v>
      </c>
      <c r="D30" s="15" t="s">
        <v>276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120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121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122</v>
      </c>
      <c r="C34" s="4" t="s">
        <v>123</v>
      </c>
      <c r="D34" s="10" t="s">
        <v>124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127</v>
      </c>
      <c r="C35" s="4" t="s">
        <v>1064</v>
      </c>
      <c r="D35" s="10" t="s">
        <v>276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129</v>
      </c>
      <c r="C36" s="12" t="s">
        <v>1061</v>
      </c>
      <c r="D36" s="15" t="s">
        <v>80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137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837</v>
      </c>
      <c r="C40" s="4" t="s">
        <v>838</v>
      </c>
      <c r="D40" s="10" t="s">
        <v>124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839</v>
      </c>
      <c r="C41" s="4" t="s">
        <v>43</v>
      </c>
      <c r="D41" s="10" t="s">
        <v>38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138</v>
      </c>
      <c r="C42" s="4" t="s">
        <v>552</v>
      </c>
      <c r="D42" s="10" t="s">
        <v>506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141</v>
      </c>
      <c r="C43" s="4" t="s">
        <v>142</v>
      </c>
      <c r="D43" s="10" t="s">
        <v>38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143</v>
      </c>
      <c r="C44" s="4" t="s">
        <v>142</v>
      </c>
      <c r="D44" s="10" t="s">
        <v>49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144</v>
      </c>
      <c r="C45" s="4" t="s">
        <v>142</v>
      </c>
      <c r="D45" s="10" t="s">
        <v>41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145</v>
      </c>
      <c r="C46" s="4" t="s">
        <v>51</v>
      </c>
      <c r="D46" s="16" t="s">
        <v>46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44</v>
      </c>
      <c r="C47" s="4" t="s">
        <v>45</v>
      </c>
      <c r="D47" s="10" t="s">
        <v>52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149</v>
      </c>
      <c r="C48" s="4" t="s">
        <v>150</v>
      </c>
      <c r="D48" s="10" t="s">
        <v>80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153</v>
      </c>
      <c r="C49" s="4" t="s">
        <v>150</v>
      </c>
      <c r="D49" s="10" t="s">
        <v>344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840</v>
      </c>
      <c r="C50" s="4" t="s">
        <v>150</v>
      </c>
      <c r="D50" s="10" t="s">
        <v>344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154</v>
      </c>
      <c r="C51" s="4" t="s">
        <v>150</v>
      </c>
      <c r="D51" s="10" t="s">
        <v>344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120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156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841</v>
      </c>
      <c r="C55" s="12" t="s">
        <v>158</v>
      </c>
      <c r="D55" s="15" t="s">
        <v>124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159</v>
      </c>
      <c r="C56" s="12" t="s">
        <v>160</v>
      </c>
      <c r="D56" s="15" t="s">
        <v>850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120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162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842</v>
      </c>
      <c r="C60" s="17" t="s">
        <v>843</v>
      </c>
      <c r="D60" s="10" t="s">
        <v>124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844</v>
      </c>
      <c r="C61" s="17" t="s">
        <v>845</v>
      </c>
      <c r="D61" s="15" t="s">
        <v>1461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165</v>
      </c>
      <c r="C62" s="4" t="s">
        <v>51</v>
      </c>
      <c r="D62" s="10" t="s">
        <v>52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846</v>
      </c>
      <c r="C63" s="17" t="s">
        <v>167</v>
      </c>
      <c r="D63" s="15" t="s">
        <v>215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847</v>
      </c>
      <c r="C64" s="17" t="s">
        <v>51</v>
      </c>
      <c r="D64" s="15" t="s">
        <v>46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169</v>
      </c>
      <c r="C65" s="4" t="s">
        <v>150</v>
      </c>
      <c r="D65" s="10" t="s">
        <v>504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171</v>
      </c>
      <c r="C66" s="17" t="s">
        <v>71</v>
      </c>
      <c r="D66" s="15" t="s">
        <v>504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172</v>
      </c>
      <c r="C67" s="17" t="s">
        <v>71</v>
      </c>
      <c r="D67" s="15" t="s">
        <v>504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173</v>
      </c>
      <c r="C68" s="4" t="s">
        <v>553</v>
      </c>
      <c r="D68" s="10" t="s">
        <v>131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177</v>
      </c>
      <c r="C69" s="4" t="s">
        <v>150</v>
      </c>
      <c r="D69" s="10" t="s">
        <v>80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81</v>
      </c>
      <c r="C70" s="17" t="s">
        <v>68</v>
      </c>
      <c r="D70" s="10" t="s">
        <v>99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120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180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181</v>
      </c>
      <c r="C74" s="4" t="s">
        <v>182</v>
      </c>
      <c r="D74" s="10" t="s">
        <v>124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848</v>
      </c>
      <c r="C75" s="4" t="s">
        <v>849</v>
      </c>
      <c r="D75" s="15" t="s">
        <v>1461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183</v>
      </c>
      <c r="C76" s="12" t="s">
        <v>851</v>
      </c>
      <c r="D76" s="10" t="s">
        <v>850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187</v>
      </c>
      <c r="C77" s="4" t="s">
        <v>188</v>
      </c>
      <c r="D77" s="15" t="s">
        <v>52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194</v>
      </c>
      <c r="C78" s="4" t="s">
        <v>179</v>
      </c>
      <c r="D78" s="10" t="s">
        <v>74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198</v>
      </c>
      <c r="C79" s="4" t="s">
        <v>179</v>
      </c>
      <c r="D79" s="10" t="s">
        <v>344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200</v>
      </c>
      <c r="C80" s="4" t="s">
        <v>201</v>
      </c>
      <c r="D80" s="10" t="s">
        <v>276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120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202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205</v>
      </c>
      <c r="C84" s="4" t="s">
        <v>142</v>
      </c>
      <c r="D84" s="10" t="s">
        <v>38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203</v>
      </c>
      <c r="C85" s="4" t="s">
        <v>142</v>
      </c>
      <c r="D85" s="10" t="s">
        <v>38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163</v>
      </c>
      <c r="C86" s="4" t="s">
        <v>142</v>
      </c>
      <c r="D86" s="10" t="s">
        <v>41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208</v>
      </c>
      <c r="C87" s="4" t="s">
        <v>142</v>
      </c>
      <c r="D87" s="10" t="s">
        <v>41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209</v>
      </c>
      <c r="C88" s="4" t="s">
        <v>852</v>
      </c>
      <c r="D88" s="15" t="s">
        <v>502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210</v>
      </c>
      <c r="C89" s="12" t="s">
        <v>167</v>
      </c>
      <c r="D89" s="15" t="s">
        <v>215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211</v>
      </c>
      <c r="C90" s="12" t="s">
        <v>51</v>
      </c>
      <c r="D90" s="15" t="s">
        <v>501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213</v>
      </c>
      <c r="C91" s="17" t="s">
        <v>71</v>
      </c>
      <c r="D91" s="15" t="s">
        <v>504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214</v>
      </c>
      <c r="C92" s="17" t="s">
        <v>71</v>
      </c>
      <c r="D92" s="15" t="s">
        <v>504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217</v>
      </c>
      <c r="C93" s="4" t="s">
        <v>218</v>
      </c>
      <c r="D93" s="10" t="s">
        <v>80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221</v>
      </c>
      <c r="C94" s="17" t="s">
        <v>222</v>
      </c>
      <c r="D94" s="15" t="s">
        <v>111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120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224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225</v>
      </c>
      <c r="C98" s="4" t="s">
        <v>554</v>
      </c>
      <c r="D98" s="16" t="s">
        <v>207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227</v>
      </c>
      <c r="C99" s="4" t="s">
        <v>228</v>
      </c>
      <c r="D99" s="15" t="s">
        <v>52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233</v>
      </c>
      <c r="C100" s="4" t="s">
        <v>555</v>
      </c>
      <c r="D100" s="15" t="s">
        <v>131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234</v>
      </c>
      <c r="C101" s="4" t="s">
        <v>197</v>
      </c>
      <c r="D101" s="15" t="s">
        <v>80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120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237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556</v>
      </c>
      <c r="C105" s="12" t="s">
        <v>239</v>
      </c>
      <c r="D105" s="15" t="s">
        <v>124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240</v>
      </c>
      <c r="C106" s="4" t="s">
        <v>241</v>
      </c>
      <c r="D106" s="16" t="s">
        <v>207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242</v>
      </c>
      <c r="C107" s="4" t="s">
        <v>557</v>
      </c>
      <c r="D107" s="10" t="s">
        <v>55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244</v>
      </c>
      <c r="C108" s="4" t="s">
        <v>557</v>
      </c>
      <c r="D108" s="10" t="s">
        <v>55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247</v>
      </c>
      <c r="C109" s="4" t="s">
        <v>248</v>
      </c>
      <c r="D109" s="15" t="s">
        <v>223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250</v>
      </c>
      <c r="C110" s="4" t="s">
        <v>248</v>
      </c>
      <c r="D110" s="10" t="s">
        <v>105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251</v>
      </c>
      <c r="C111" s="4" t="s">
        <v>248</v>
      </c>
      <c r="D111" s="15" t="s">
        <v>111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120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255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257</v>
      </c>
      <c r="C115" s="4" t="s">
        <v>258</v>
      </c>
      <c r="D115" s="15" t="s">
        <v>131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190</v>
      </c>
      <c r="C116" s="12" t="s">
        <v>854</v>
      </c>
      <c r="D116" s="15" t="s">
        <v>69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120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279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280</v>
      </c>
      <c r="C120" s="12" t="s">
        <v>281</v>
      </c>
      <c r="D120" s="15" t="s">
        <v>124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282</v>
      </c>
      <c r="C121" s="12" t="s">
        <v>558</v>
      </c>
      <c r="D121" s="15" t="s">
        <v>506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284</v>
      </c>
      <c r="C122" s="12" t="s">
        <v>559</v>
      </c>
      <c r="D122" s="15" t="s">
        <v>38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855</v>
      </c>
      <c r="C123" s="12" t="s">
        <v>559</v>
      </c>
      <c r="D123" s="15" t="s">
        <v>41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287</v>
      </c>
      <c r="C124" s="12" t="s">
        <v>289</v>
      </c>
      <c r="D124" s="15" t="s">
        <v>212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288</v>
      </c>
      <c r="C125" s="12" t="s">
        <v>560</v>
      </c>
      <c r="D125" s="15" t="s">
        <v>52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290</v>
      </c>
      <c r="C126" s="12" t="s">
        <v>289</v>
      </c>
      <c r="D126" s="15" t="s">
        <v>52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293</v>
      </c>
      <c r="C127" s="12" t="s">
        <v>561</v>
      </c>
      <c r="D127" s="10" t="s">
        <v>99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295</v>
      </c>
      <c r="C128" s="12" t="s">
        <v>296</v>
      </c>
      <c r="D128" s="15" t="s">
        <v>276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297</v>
      </c>
      <c r="C129" s="12" t="s">
        <v>292</v>
      </c>
      <c r="D129" s="15" t="s">
        <v>276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120</v>
      </c>
      <c r="C130" s="26" t="s">
        <v>562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300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856</v>
      </c>
      <c r="C133" s="12" t="s">
        <v>857</v>
      </c>
      <c r="D133" s="15" t="s">
        <v>124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858</v>
      </c>
      <c r="C134" s="12" t="s">
        <v>859</v>
      </c>
      <c r="D134" s="15" t="s">
        <v>35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304</v>
      </c>
      <c r="C135" s="4" t="s">
        <v>305</v>
      </c>
      <c r="D135" s="16" t="s">
        <v>207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306</v>
      </c>
      <c r="C136" s="12" t="s">
        <v>860</v>
      </c>
      <c r="D136" s="15" t="s">
        <v>46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308</v>
      </c>
      <c r="C137" s="4" t="s">
        <v>312</v>
      </c>
      <c r="D137" s="15" t="s">
        <v>46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310</v>
      </c>
      <c r="C138" s="4" t="s">
        <v>312</v>
      </c>
      <c r="D138" s="15" t="s">
        <v>46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229</v>
      </c>
      <c r="C139" s="12" t="s">
        <v>861</v>
      </c>
      <c r="D139" s="15" t="s">
        <v>69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313</v>
      </c>
      <c r="C140" s="12" t="s">
        <v>861</v>
      </c>
      <c r="D140" s="15" t="s">
        <v>69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314</v>
      </c>
      <c r="C141" s="4" t="s">
        <v>862</v>
      </c>
      <c r="D141" s="15" t="s">
        <v>69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316</v>
      </c>
      <c r="C142" s="12" t="s">
        <v>564</v>
      </c>
      <c r="D142" s="15" t="s">
        <v>131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318</v>
      </c>
      <c r="C143" s="12" t="s">
        <v>319</v>
      </c>
      <c r="D143" s="15" t="s">
        <v>504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61</v>
      </c>
      <c r="C144" s="12" t="s">
        <v>863</v>
      </c>
      <c r="D144" s="15" t="s">
        <v>69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320</v>
      </c>
      <c r="C145" s="4" t="s">
        <v>321</v>
      </c>
      <c r="D145" s="15" t="s">
        <v>504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322</v>
      </c>
      <c r="C146" s="4" t="s">
        <v>864</v>
      </c>
      <c r="D146" s="15" t="s">
        <v>74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323</v>
      </c>
      <c r="C147" s="4" t="s">
        <v>864</v>
      </c>
      <c r="D147" s="15" t="s">
        <v>77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325</v>
      </c>
      <c r="C148" s="4" t="s">
        <v>864</v>
      </c>
      <c r="D148" s="15" t="s">
        <v>77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326</v>
      </c>
      <c r="C149" s="12" t="s">
        <v>327</v>
      </c>
      <c r="D149" s="15" t="s">
        <v>80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1462</v>
      </c>
      <c r="C150" s="12" t="s">
        <v>329</v>
      </c>
      <c r="D150" s="10" t="s">
        <v>344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330</v>
      </c>
      <c r="C151" s="12" t="s">
        <v>565</v>
      </c>
      <c r="D151" s="15" t="s">
        <v>74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332</v>
      </c>
      <c r="C152" s="12" t="s">
        <v>566</v>
      </c>
      <c r="D152" s="15" t="s">
        <v>99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334</v>
      </c>
      <c r="C153" s="12" t="s">
        <v>567</v>
      </c>
      <c r="D153" s="15" t="s">
        <v>74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335</v>
      </c>
      <c r="C154" s="12" t="s">
        <v>568</v>
      </c>
      <c r="D154" s="15" t="s">
        <v>99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337</v>
      </c>
      <c r="C155" s="12" t="s">
        <v>338</v>
      </c>
      <c r="D155" s="15" t="s">
        <v>344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345</v>
      </c>
      <c r="C156" s="12" t="s">
        <v>346</v>
      </c>
      <c r="D156" s="15" t="s">
        <v>276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347</v>
      </c>
      <c r="C157" s="12" t="s">
        <v>348</v>
      </c>
      <c r="D157" s="15" t="s">
        <v>276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349</v>
      </c>
      <c r="C158" s="12" t="s">
        <v>350</v>
      </c>
      <c r="D158" s="15" t="s">
        <v>276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351</v>
      </c>
      <c r="C159" s="12" t="s">
        <v>569</v>
      </c>
      <c r="D159" s="15" t="s">
        <v>111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352</v>
      </c>
      <c r="C160" s="12" t="s">
        <v>348</v>
      </c>
      <c r="D160" s="15" t="s">
        <v>276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361</v>
      </c>
      <c r="C161" s="12" t="s">
        <v>362</v>
      </c>
      <c r="D161" s="15" t="s">
        <v>381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364</v>
      </c>
      <c r="C162" s="12" t="s">
        <v>362</v>
      </c>
      <c r="D162" s="15" t="s">
        <v>381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570</v>
      </c>
      <c r="C163" s="12" t="s">
        <v>362</v>
      </c>
      <c r="D163" s="15" t="s">
        <v>381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365</v>
      </c>
      <c r="C164" s="12" t="s">
        <v>362</v>
      </c>
      <c r="D164" s="15" t="s">
        <v>381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366</v>
      </c>
      <c r="C165" s="12" t="s">
        <v>362</v>
      </c>
      <c r="D165" s="15" t="s">
        <v>381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367</v>
      </c>
      <c r="C166" s="12" t="s">
        <v>362</v>
      </c>
      <c r="D166" s="15" t="s">
        <v>510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369</v>
      </c>
      <c r="C167" s="12" t="s">
        <v>362</v>
      </c>
      <c r="D167" s="15" t="s">
        <v>510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370</v>
      </c>
      <c r="C168" s="12" t="s">
        <v>362</v>
      </c>
      <c r="D168" s="15" t="s">
        <v>510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371</v>
      </c>
      <c r="C169" s="12" t="s">
        <v>362</v>
      </c>
      <c r="D169" s="15" t="s">
        <v>510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372</v>
      </c>
      <c r="C170" s="12" t="s">
        <v>362</v>
      </c>
      <c r="D170" s="15" t="s">
        <v>510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359</v>
      </c>
      <c r="C171" s="12" t="s">
        <v>362</v>
      </c>
      <c r="D171" s="15" t="s">
        <v>510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373</v>
      </c>
      <c r="C172" s="12" t="s">
        <v>374</v>
      </c>
      <c r="D172" s="15" t="s">
        <v>511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376</v>
      </c>
      <c r="C173" s="12" t="s">
        <v>374</v>
      </c>
      <c r="D173" s="15" t="s">
        <v>511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377</v>
      </c>
      <c r="C174" s="12" t="s">
        <v>374</v>
      </c>
      <c r="D174" s="15" t="s">
        <v>511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379</v>
      </c>
      <c r="C175" s="12" t="s">
        <v>393</v>
      </c>
      <c r="D175" s="15" t="s">
        <v>408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382</v>
      </c>
      <c r="C176" s="12" t="s">
        <v>390</v>
      </c>
      <c r="D176" s="15" t="s">
        <v>1463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383</v>
      </c>
      <c r="C177" s="12" t="s">
        <v>390</v>
      </c>
      <c r="D177" s="15" t="s">
        <v>1463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384</v>
      </c>
      <c r="C178" s="12" t="s">
        <v>390</v>
      </c>
      <c r="D178" s="15" t="s">
        <v>1463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385</v>
      </c>
      <c r="C179" s="12" t="s">
        <v>390</v>
      </c>
      <c r="D179" s="15" t="s">
        <v>1463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386</v>
      </c>
      <c r="C180" s="12" t="s">
        <v>390</v>
      </c>
      <c r="D180" s="15" t="s">
        <v>1463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387</v>
      </c>
      <c r="C181" s="12" t="s">
        <v>390</v>
      </c>
      <c r="D181" s="15" t="s">
        <v>1463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389</v>
      </c>
      <c r="C182" s="12" t="s">
        <v>390</v>
      </c>
      <c r="D182" s="15" t="s">
        <v>1463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572</v>
      </c>
      <c r="C183" s="12" t="s">
        <v>393</v>
      </c>
      <c r="D183" s="15" t="s">
        <v>1463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392</v>
      </c>
      <c r="C184" s="12" t="s">
        <v>393</v>
      </c>
      <c r="D184" s="15" t="s">
        <v>1463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360</v>
      </c>
      <c r="C185" s="12" t="s">
        <v>395</v>
      </c>
      <c r="D185" s="15" t="s">
        <v>398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397</v>
      </c>
      <c r="C186" s="12" t="s">
        <v>390</v>
      </c>
      <c r="D186" s="15" t="s">
        <v>513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401</v>
      </c>
      <c r="C187" s="12" t="s">
        <v>402</v>
      </c>
      <c r="D187" s="15" t="s">
        <v>1464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404</v>
      </c>
      <c r="C188" s="12" t="s">
        <v>402</v>
      </c>
      <c r="D188" s="15" t="s">
        <v>1464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405</v>
      </c>
      <c r="C189" s="12" t="s">
        <v>402</v>
      </c>
      <c r="D189" s="15" t="s">
        <v>1464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406</v>
      </c>
      <c r="C190" s="12" t="s">
        <v>407</v>
      </c>
      <c r="D190" s="15" t="s">
        <v>400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409</v>
      </c>
      <c r="C191" s="12" t="s">
        <v>407</v>
      </c>
      <c r="D191" s="15" t="s">
        <v>400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120</v>
      </c>
      <c r="C192" s="28" t="s">
        <v>866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411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1455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1090</v>
      </c>
      <c r="H4" s="24" t="s">
        <v>1091</v>
      </c>
      <c r="I4" s="218" t="s">
        <v>1092</v>
      </c>
      <c r="J4" s="24" t="s">
        <v>1093</v>
      </c>
      <c r="K4" s="24" t="s">
        <v>1094</v>
      </c>
      <c r="L4" s="24" t="s">
        <v>1095</v>
      </c>
      <c r="M4" s="218" t="s">
        <v>7</v>
      </c>
      <c r="N4" s="218" t="s">
        <v>7</v>
      </c>
      <c r="O4" s="24" t="s">
        <v>1096</v>
      </c>
      <c r="P4" s="24" t="s">
        <v>1096</v>
      </c>
      <c r="Q4" s="218" t="s">
        <v>8</v>
      </c>
      <c r="R4" s="334" t="s">
        <v>9</v>
      </c>
      <c r="S4" s="24" t="s">
        <v>15</v>
      </c>
      <c r="T4" s="347" t="s">
        <v>17</v>
      </c>
      <c r="U4" s="80" t="s">
        <v>1466</v>
      </c>
      <c r="V4" s="321" t="s">
        <v>1467</v>
      </c>
      <c r="W4" s="80" t="s">
        <v>473</v>
      </c>
      <c r="X4" s="321" t="s">
        <v>758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47</v>
      </c>
      <c r="C7" s="4" t="s">
        <v>836</v>
      </c>
      <c r="D7" s="10" t="s">
        <v>55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120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1468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177</v>
      </c>
      <c r="C11" s="4" t="s">
        <v>150</v>
      </c>
      <c r="D11" s="10" t="s">
        <v>80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120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411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1455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1090</v>
      </c>
      <c r="H4" s="24" t="s">
        <v>1091</v>
      </c>
      <c r="I4" s="218" t="s">
        <v>1092</v>
      </c>
      <c r="J4" s="24" t="s">
        <v>1093</v>
      </c>
      <c r="K4" s="24" t="s">
        <v>1094</v>
      </c>
      <c r="L4" s="24" t="s">
        <v>1095</v>
      </c>
      <c r="M4" s="218" t="s">
        <v>7</v>
      </c>
      <c r="N4" s="218" t="s">
        <v>7</v>
      </c>
      <c r="O4" s="24" t="s">
        <v>1096</v>
      </c>
      <c r="P4" s="24" t="s">
        <v>1096</v>
      </c>
      <c r="Q4" s="218" t="s">
        <v>8</v>
      </c>
      <c r="R4" s="334" t="s">
        <v>9</v>
      </c>
      <c r="S4" s="7" t="s">
        <v>489</v>
      </c>
      <c r="T4" s="306" t="s">
        <v>973</v>
      </c>
      <c r="U4" s="80" t="s">
        <v>974</v>
      </c>
      <c r="V4" s="80" t="s">
        <v>975</v>
      </c>
      <c r="W4" s="80" t="s">
        <v>524</v>
      </c>
      <c r="X4" s="80" t="s">
        <v>976</v>
      </c>
      <c r="Y4" s="80" t="s">
        <v>977</v>
      </c>
      <c r="Z4" s="319" t="s">
        <v>978</v>
      </c>
      <c r="AA4" s="320" t="s">
        <v>979</v>
      </c>
      <c r="AB4" s="80" t="s">
        <v>473</v>
      </c>
      <c r="AC4" s="321" t="s">
        <v>758</v>
      </c>
      <c r="AD4" s="321" t="s">
        <v>1469</v>
      </c>
      <c r="AE4" s="321" t="s">
        <v>1470</v>
      </c>
    </row>
    <row r="5" ht="17.25" customHeight="1" spans="3:24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8" t="s">
        <v>20</v>
      </c>
      <c r="T5" s="82"/>
      <c r="U5" s="82"/>
      <c r="V5" s="230"/>
      <c r="W5" s="82"/>
      <c r="X5" s="230"/>
    </row>
    <row r="6" customHeight="1" spans="1:24">
      <c r="A6" s="9" t="s">
        <v>21</v>
      </c>
      <c r="B6" s="8" t="s">
        <v>1471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373</v>
      </c>
      <c r="C8" s="329" t="s">
        <v>374</v>
      </c>
      <c r="D8" s="330" t="s">
        <v>511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511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376</v>
      </c>
      <c r="C9" s="329" t="s">
        <v>374</v>
      </c>
      <c r="D9" s="330" t="s">
        <v>511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511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377</v>
      </c>
      <c r="C10" s="329" t="s">
        <v>374</v>
      </c>
      <c r="D10" s="330" t="s">
        <v>511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511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373</v>
      </c>
      <c r="C13" s="329" t="s">
        <v>374</v>
      </c>
      <c r="D13" s="330" t="s">
        <v>511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[11]PROMOTIONS!$X$42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376</v>
      </c>
      <c r="C14" s="329" t="s">
        <v>374</v>
      </c>
      <c r="D14" s="330" t="s">
        <v>511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[11]PROMOTIONS!$X$42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377</v>
      </c>
      <c r="C15" s="329" t="s">
        <v>374</v>
      </c>
      <c r="D15" s="330" t="s">
        <v>511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[11]PROMOTIONS!$X$42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411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1472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1456</v>
      </c>
      <c r="E4" s="80" t="s">
        <v>5</v>
      </c>
      <c r="F4" s="21" t="s">
        <v>1090</v>
      </c>
      <c r="G4" s="21" t="s">
        <v>1091</v>
      </c>
      <c r="H4" s="80" t="s">
        <v>1092</v>
      </c>
      <c r="I4" s="21" t="s">
        <v>1093</v>
      </c>
      <c r="J4" s="21" t="s">
        <v>1094</v>
      </c>
      <c r="K4" s="21" t="s">
        <v>1095</v>
      </c>
      <c r="L4" s="80" t="s">
        <v>7</v>
      </c>
      <c r="M4" s="80" t="s">
        <v>7</v>
      </c>
      <c r="N4" s="21" t="s">
        <v>1096</v>
      </c>
      <c r="O4" s="21" t="s">
        <v>1096</v>
      </c>
      <c r="P4" s="80" t="s">
        <v>8</v>
      </c>
      <c r="Q4" s="306" t="s">
        <v>972</v>
      </c>
      <c r="R4" s="7" t="s">
        <v>489</v>
      </c>
      <c r="S4" s="306" t="s">
        <v>973</v>
      </c>
      <c r="T4" s="80" t="s">
        <v>974</v>
      </c>
      <c r="U4" s="80" t="s">
        <v>975</v>
      </c>
      <c r="V4" s="80" t="s">
        <v>524</v>
      </c>
      <c r="W4" s="80" t="s">
        <v>976</v>
      </c>
      <c r="X4" s="80" t="s">
        <v>977</v>
      </c>
      <c r="Y4" s="319" t="s">
        <v>978</v>
      </c>
      <c r="Z4" s="320" t="s">
        <v>979</v>
      </c>
      <c r="AA4" s="80" t="s">
        <v>473</v>
      </c>
      <c r="AB4" s="321" t="s">
        <v>758</v>
      </c>
    </row>
    <row r="5" ht="17.25" customHeight="1" spans="3:28"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  <c r="I5" s="82" t="s">
        <v>20</v>
      </c>
      <c r="J5" s="82" t="s">
        <v>20</v>
      </c>
      <c r="K5" s="82" t="s">
        <v>20</v>
      </c>
      <c r="L5" s="82" t="s">
        <v>20</v>
      </c>
      <c r="M5" s="82" t="s">
        <v>20</v>
      </c>
      <c r="N5" s="82" t="s">
        <v>20</v>
      </c>
      <c r="O5" s="82" t="s">
        <v>20</v>
      </c>
      <c r="P5" s="82" t="s">
        <v>20</v>
      </c>
      <c r="Q5" s="307" t="s">
        <v>20</v>
      </c>
      <c r="R5" s="8"/>
      <c r="S5" s="307" t="s">
        <v>20</v>
      </c>
      <c r="T5" s="82"/>
      <c r="U5" s="82" t="s">
        <v>20</v>
      </c>
      <c r="V5" s="82"/>
      <c r="W5" s="308" t="s">
        <v>20</v>
      </c>
      <c r="X5" s="82"/>
      <c r="Y5" s="82"/>
      <c r="Z5" s="230"/>
      <c r="AA5" s="82"/>
      <c r="AB5" s="230"/>
    </row>
    <row r="6" customHeight="1" spans="1:28">
      <c r="A6" s="9" t="s">
        <v>21</v>
      </c>
      <c r="B6" s="8" t="s">
        <v>22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83</v>
      </c>
      <c r="C7" s="12" t="s">
        <v>1473</v>
      </c>
      <c r="D7" s="15" t="s">
        <v>105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344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120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137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44</v>
      </c>
      <c r="C11" s="4" t="s">
        <v>852</v>
      </c>
      <c r="D11" s="10" t="s">
        <v>502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52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120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162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163</v>
      </c>
      <c r="C15" s="4" t="s">
        <v>51</v>
      </c>
      <c r="D15" s="10" t="s">
        <v>189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41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165</v>
      </c>
      <c r="C16" s="4" t="s">
        <v>167</v>
      </c>
      <c r="D16" s="10" t="s">
        <v>502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52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120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180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187</v>
      </c>
      <c r="C20" s="4" t="s">
        <v>1474</v>
      </c>
      <c r="D20" s="15" t="s">
        <v>502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52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120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202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208</v>
      </c>
      <c r="C24" s="4" t="s">
        <v>45</v>
      </c>
      <c r="D24" s="10" t="s">
        <v>46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41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211</v>
      </c>
      <c r="C25" s="12" t="s">
        <v>167</v>
      </c>
      <c r="D25" s="15" t="s">
        <v>215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501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120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224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36</v>
      </c>
      <c r="C29" s="4" t="s">
        <v>228</v>
      </c>
      <c r="D29" s="10" t="s">
        <v>46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41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227</v>
      </c>
      <c r="C30" s="4" t="s">
        <v>862</v>
      </c>
      <c r="D30" s="15" t="s">
        <v>502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52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234</v>
      </c>
      <c r="C31" s="4" t="s">
        <v>1475</v>
      </c>
      <c r="D31" s="15" t="s">
        <v>105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80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120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279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290</v>
      </c>
      <c r="C35" s="12" t="s">
        <v>1476</v>
      </c>
      <c r="D35" s="15" t="s">
        <v>502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52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120</v>
      </c>
      <c r="C36" s="26" t="s">
        <v>1477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300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318</v>
      </c>
      <c r="C39" s="12" t="s">
        <v>1478</v>
      </c>
      <c r="D39" s="15" t="s">
        <v>151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504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320</v>
      </c>
      <c r="C40" s="4" t="s">
        <v>329</v>
      </c>
      <c r="D40" s="15" t="s">
        <v>151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504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337</v>
      </c>
      <c r="C41" s="12" t="s">
        <v>348</v>
      </c>
      <c r="D41" s="15" t="s">
        <v>105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344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373</v>
      </c>
      <c r="C42" s="12" t="s">
        <v>393</v>
      </c>
      <c r="D42" s="15" t="s">
        <v>512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511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376</v>
      </c>
      <c r="C43" s="302" t="s">
        <v>393</v>
      </c>
      <c r="D43" s="303" t="s">
        <v>512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511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'[10]October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377</v>
      </c>
      <c r="C44" s="12" t="s">
        <v>393</v>
      </c>
      <c r="D44" s="15" t="s">
        <v>391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511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360</v>
      </c>
      <c r="C45" s="12" t="s">
        <v>390</v>
      </c>
      <c r="D45" s="15" t="s">
        <v>1479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398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120</v>
      </c>
      <c r="C46" s="28" t="s">
        <v>1480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411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1481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1482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1483</v>
      </c>
      <c r="C3" s="271" t="s">
        <v>1484</v>
      </c>
      <c r="D3" s="271" t="s">
        <v>1485</v>
      </c>
      <c r="E3" s="271" t="s">
        <v>1486</v>
      </c>
      <c r="F3" s="271" t="s">
        <v>1487</v>
      </c>
      <c r="G3" s="271" t="s">
        <v>1488</v>
      </c>
      <c r="H3" s="291" t="s">
        <v>1489</v>
      </c>
      <c r="I3" s="271" t="s">
        <v>1490</v>
      </c>
      <c r="J3" s="271" t="s">
        <v>1491</v>
      </c>
      <c r="K3" s="271" t="s">
        <v>1492</v>
      </c>
      <c r="L3" s="271" t="s">
        <v>1493</v>
      </c>
      <c r="M3" s="271" t="s">
        <v>1494</v>
      </c>
      <c r="N3" s="271" t="s">
        <v>1495</v>
      </c>
      <c r="O3" s="271" t="s">
        <v>1496</v>
      </c>
      <c r="P3" s="271" t="s">
        <v>1497</v>
      </c>
      <c r="Q3" s="294"/>
      <c r="R3" s="294"/>
    </row>
    <row r="4" ht="13" spans="1:18">
      <c r="A4" s="271" t="s">
        <v>1498</v>
      </c>
      <c r="B4" s="271" t="s">
        <v>20</v>
      </c>
      <c r="C4" s="271" t="s">
        <v>20</v>
      </c>
      <c r="D4" s="271" t="s">
        <v>20</v>
      </c>
      <c r="E4" s="271" t="s">
        <v>20</v>
      </c>
      <c r="F4" s="271" t="s">
        <v>20</v>
      </c>
      <c r="G4" s="271" t="s">
        <v>20</v>
      </c>
      <c r="H4" s="291" t="s">
        <v>20</v>
      </c>
      <c r="I4" s="271" t="s">
        <v>20</v>
      </c>
      <c r="J4" s="271" t="s">
        <v>20</v>
      </c>
      <c r="K4" s="271" t="s">
        <v>20</v>
      </c>
      <c r="L4" s="271" t="s">
        <v>20</v>
      </c>
      <c r="M4" s="271" t="s">
        <v>20</v>
      </c>
      <c r="N4" s="271" t="s">
        <v>20</v>
      </c>
      <c r="O4" s="271" t="s">
        <v>20</v>
      </c>
      <c r="P4" s="271" t="s">
        <v>20</v>
      </c>
      <c r="Q4" s="294"/>
      <c r="R4" s="294"/>
    </row>
    <row r="5" ht="14" spans="1:18">
      <c r="A5" s="292" t="s">
        <v>1499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1500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1501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1502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1503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1504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1505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1506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1507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1508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1509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1510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1511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1512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1513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1514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829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1515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21</v>
      </c>
      <c r="B5" s="277" t="s">
        <v>2</v>
      </c>
      <c r="C5" s="277" t="s">
        <v>3</v>
      </c>
      <c r="D5" s="278" t="s">
        <v>4</v>
      </c>
      <c r="E5" s="278" t="s">
        <v>1516</v>
      </c>
      <c r="F5" s="278" t="s">
        <v>1517</v>
      </c>
      <c r="G5" s="278" t="s">
        <v>1518</v>
      </c>
      <c r="H5" s="278" t="s">
        <v>1519</v>
      </c>
      <c r="I5" s="285" t="s">
        <v>1520</v>
      </c>
    </row>
    <row r="6" spans="2:2">
      <c r="B6" s="271" t="s">
        <v>22</v>
      </c>
    </row>
    <row r="7" spans="1:9">
      <c r="A7" s="279">
        <v>1</v>
      </c>
      <c r="B7" s="279" t="s">
        <v>23</v>
      </c>
      <c r="C7" s="279" t="s">
        <v>24</v>
      </c>
      <c r="D7" s="279" t="s">
        <v>870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1521</v>
      </c>
      <c r="C8" s="279" t="s">
        <v>1522</v>
      </c>
      <c r="D8" s="279" t="s">
        <v>35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26</v>
      </c>
      <c r="C9" s="279" t="s">
        <v>27</v>
      </c>
      <c r="D9" s="279" t="s">
        <v>28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29</v>
      </c>
      <c r="C10" s="279" t="s">
        <v>30</v>
      </c>
      <c r="D10" s="279" t="s">
        <v>207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225</v>
      </c>
      <c r="C11" s="279" t="s">
        <v>1523</v>
      </c>
      <c r="D11" s="279" t="s">
        <v>207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31</v>
      </c>
      <c r="C12" s="279" t="s">
        <v>32</v>
      </c>
      <c r="D12" s="279" t="s">
        <v>207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301</v>
      </c>
      <c r="C13" s="279" t="s">
        <v>832</v>
      </c>
      <c r="D13" s="279" t="s">
        <v>207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33</v>
      </c>
      <c r="C14" s="279" t="s">
        <v>835</v>
      </c>
      <c r="D14" s="279" t="s">
        <v>38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1524</v>
      </c>
      <c r="C15" s="279" t="s">
        <v>547</v>
      </c>
      <c r="D15" s="279" t="s">
        <v>46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39</v>
      </c>
      <c r="C16" s="279" t="s">
        <v>547</v>
      </c>
      <c r="D16" s="279" t="s">
        <v>46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50</v>
      </c>
      <c r="C17" s="279" t="s">
        <v>60</v>
      </c>
      <c r="D17" s="279" t="s">
        <v>215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53</v>
      </c>
      <c r="C18" s="279" t="s">
        <v>54</v>
      </c>
      <c r="D18" s="279" t="s">
        <v>503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64</v>
      </c>
      <c r="C19" s="279" t="s">
        <v>176</v>
      </c>
      <c r="D19" s="279" t="s">
        <v>131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78</v>
      </c>
      <c r="C20" s="279" t="s">
        <v>94</v>
      </c>
      <c r="D20" s="279" t="s">
        <v>99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1525</v>
      </c>
      <c r="C21" s="279" t="s">
        <v>1526</v>
      </c>
      <c r="D21" s="279" t="s">
        <v>99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83</v>
      </c>
      <c r="C22" s="279" t="s">
        <v>1473</v>
      </c>
      <c r="D22" s="279" t="s">
        <v>105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86</v>
      </c>
      <c r="C23" s="279" t="s">
        <v>1527</v>
      </c>
      <c r="D23" s="279" t="s">
        <v>105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91</v>
      </c>
      <c r="C24" s="279" t="s">
        <v>550</v>
      </c>
      <c r="D24" s="279" t="s">
        <v>99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95</v>
      </c>
      <c r="C25" s="279" t="s">
        <v>551</v>
      </c>
      <c r="D25" s="279" t="s">
        <v>111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1454</v>
      </c>
      <c r="C26" s="279" t="s">
        <v>104</v>
      </c>
      <c r="D26" s="279" t="s">
        <v>111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103</v>
      </c>
      <c r="C27" s="279" t="s">
        <v>104</v>
      </c>
      <c r="D27" s="279" t="s">
        <v>276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1528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121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122</v>
      </c>
      <c r="C31" s="279" t="s">
        <v>123</v>
      </c>
      <c r="D31" s="279" t="s">
        <v>124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127</v>
      </c>
      <c r="C32" s="279" t="s">
        <v>1064</v>
      </c>
      <c r="D32" s="279" t="s">
        <v>276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1529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137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837</v>
      </c>
      <c r="C36" s="279" t="s">
        <v>838</v>
      </c>
      <c r="D36" s="279" t="s">
        <v>124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839</v>
      </c>
      <c r="C37" s="279" t="s">
        <v>43</v>
      </c>
      <c r="D37" s="279" t="s">
        <v>38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138</v>
      </c>
      <c r="C38" s="279" t="s">
        <v>142</v>
      </c>
      <c r="D38" s="279" t="s">
        <v>38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141</v>
      </c>
      <c r="C39" s="279" t="s">
        <v>142</v>
      </c>
      <c r="D39" s="279" t="s">
        <v>38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143</v>
      </c>
      <c r="C40" s="279" t="s">
        <v>142</v>
      </c>
      <c r="D40" s="279" t="s">
        <v>49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144</v>
      </c>
      <c r="C41" s="279" t="s">
        <v>45</v>
      </c>
      <c r="D41" s="279" t="s">
        <v>46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145</v>
      </c>
      <c r="C42" s="279" t="s">
        <v>51</v>
      </c>
      <c r="D42" s="279" t="s">
        <v>46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1530</v>
      </c>
      <c r="C43" s="279" t="s">
        <v>51</v>
      </c>
      <c r="D43" s="279" t="s">
        <v>212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44</v>
      </c>
      <c r="C44" s="279" t="s">
        <v>852</v>
      </c>
      <c r="D44" s="279" t="s">
        <v>502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149</v>
      </c>
      <c r="C45" s="279" t="s">
        <v>150</v>
      </c>
      <c r="D45" s="279" t="s">
        <v>80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153</v>
      </c>
      <c r="C46" s="279" t="s">
        <v>150</v>
      </c>
      <c r="D46" s="279" t="s">
        <v>344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840</v>
      </c>
      <c r="C47" s="279" t="s">
        <v>150</v>
      </c>
      <c r="D47" s="279" t="s">
        <v>344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154</v>
      </c>
      <c r="C48" s="279" t="s">
        <v>150</v>
      </c>
      <c r="D48" s="279" t="s">
        <v>344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1531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156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841</v>
      </c>
      <c r="C52" s="279" t="s">
        <v>158</v>
      </c>
      <c r="D52" s="279" t="s">
        <v>124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159</v>
      </c>
      <c r="C53" s="279" t="s">
        <v>160</v>
      </c>
      <c r="D53" s="279" t="s">
        <v>850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1532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162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842</v>
      </c>
      <c r="C57" s="279" t="s">
        <v>843</v>
      </c>
      <c r="D57" s="279" t="s">
        <v>124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844</v>
      </c>
      <c r="C58" s="279" t="s">
        <v>845</v>
      </c>
      <c r="D58" s="279" t="s">
        <v>1461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165</v>
      </c>
      <c r="C59" s="279" t="s">
        <v>167</v>
      </c>
      <c r="D59" s="279" t="s">
        <v>502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846</v>
      </c>
      <c r="C60" s="279" t="s">
        <v>167</v>
      </c>
      <c r="D60" s="279" t="s">
        <v>215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847</v>
      </c>
      <c r="C61" s="279" t="s">
        <v>51</v>
      </c>
      <c r="D61" s="279" t="s">
        <v>46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42</v>
      </c>
      <c r="C62" s="279" t="s">
        <v>51</v>
      </c>
      <c r="D62" s="279" t="s">
        <v>212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169</v>
      </c>
      <c r="C63" s="279" t="s">
        <v>150</v>
      </c>
      <c r="D63" s="279" t="s">
        <v>504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171</v>
      </c>
      <c r="C64" s="279" t="s">
        <v>71</v>
      </c>
      <c r="D64" s="279" t="s">
        <v>504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172</v>
      </c>
      <c r="C65" s="279" t="s">
        <v>71</v>
      </c>
      <c r="D65" s="279" t="s">
        <v>504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173</v>
      </c>
      <c r="C66" s="279" t="s">
        <v>553</v>
      </c>
      <c r="D66" s="279" t="s">
        <v>131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81</v>
      </c>
      <c r="C67" s="279" t="s">
        <v>68</v>
      </c>
      <c r="D67" s="279" t="s">
        <v>99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67</v>
      </c>
      <c r="C68" s="279" t="s">
        <v>68</v>
      </c>
      <c r="D68" s="279" t="s">
        <v>111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1533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180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181</v>
      </c>
      <c r="C72" s="279" t="s">
        <v>182</v>
      </c>
      <c r="D72" s="279" t="s">
        <v>124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848</v>
      </c>
      <c r="C73" s="279" t="s">
        <v>849</v>
      </c>
      <c r="D73" s="279" t="s">
        <v>1461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183</v>
      </c>
      <c r="C74" s="279" t="s">
        <v>851</v>
      </c>
      <c r="D74" s="279" t="s">
        <v>850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187</v>
      </c>
      <c r="C75" s="279" t="s">
        <v>1474</v>
      </c>
      <c r="D75" s="279" t="s">
        <v>502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194</v>
      </c>
      <c r="C76" s="279" t="s">
        <v>179</v>
      </c>
      <c r="D76" s="279" t="s">
        <v>74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198</v>
      </c>
      <c r="C77" s="279" t="s">
        <v>179</v>
      </c>
      <c r="D77" s="279" t="s">
        <v>344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200</v>
      </c>
      <c r="C78" s="279" t="s">
        <v>201</v>
      </c>
      <c r="D78" s="279" t="s">
        <v>276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1534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202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205</v>
      </c>
      <c r="C82" s="279" t="s">
        <v>142</v>
      </c>
      <c r="D82" s="279" t="s">
        <v>38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203</v>
      </c>
      <c r="C83" s="279" t="s">
        <v>142</v>
      </c>
      <c r="D83" s="279" t="s">
        <v>38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163</v>
      </c>
      <c r="C84" s="279" t="s">
        <v>51</v>
      </c>
      <c r="D84" s="279" t="s">
        <v>189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208</v>
      </c>
      <c r="C85" s="279" t="s">
        <v>45</v>
      </c>
      <c r="D85" s="279" t="s">
        <v>46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209</v>
      </c>
      <c r="C86" s="279" t="s">
        <v>852</v>
      </c>
      <c r="D86" s="279" t="s">
        <v>502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210</v>
      </c>
      <c r="C87" s="279" t="s">
        <v>167</v>
      </c>
      <c r="D87" s="279" t="s">
        <v>215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211</v>
      </c>
      <c r="C88" s="279" t="s">
        <v>167</v>
      </c>
      <c r="D88" s="279" t="s">
        <v>215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213</v>
      </c>
      <c r="C89" s="279" t="s">
        <v>71</v>
      </c>
      <c r="D89" s="279" t="s">
        <v>504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214</v>
      </c>
      <c r="C90" s="279" t="s">
        <v>71</v>
      </c>
      <c r="D90" s="279" t="s">
        <v>504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217</v>
      </c>
      <c r="C91" s="279" t="s">
        <v>218</v>
      </c>
      <c r="D91" s="279" t="s">
        <v>80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221</v>
      </c>
      <c r="C92" s="279" t="s">
        <v>222</v>
      </c>
      <c r="D92" s="279" t="s">
        <v>111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1535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224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833</v>
      </c>
      <c r="C96" s="279" t="s">
        <v>834</v>
      </c>
      <c r="D96" s="279" t="s">
        <v>207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36</v>
      </c>
      <c r="C97" s="279" t="s">
        <v>228</v>
      </c>
      <c r="D97" s="279" t="s">
        <v>46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233</v>
      </c>
      <c r="C98" s="279" t="s">
        <v>555</v>
      </c>
      <c r="D98" s="279" t="s">
        <v>131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234</v>
      </c>
      <c r="C99" s="279" t="s">
        <v>1475</v>
      </c>
      <c r="D99" s="279" t="s">
        <v>105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1536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237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556</v>
      </c>
      <c r="C103" s="279" t="s">
        <v>239</v>
      </c>
      <c r="D103" s="279" t="s">
        <v>124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240</v>
      </c>
      <c r="C104" s="279" t="s">
        <v>241</v>
      </c>
      <c r="D104" s="279" t="s">
        <v>207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242</v>
      </c>
      <c r="C105" s="279" t="s">
        <v>557</v>
      </c>
      <c r="D105" s="279" t="s">
        <v>55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244</v>
      </c>
      <c r="C106" s="279" t="s">
        <v>557</v>
      </c>
      <c r="D106" s="279" t="s">
        <v>55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247</v>
      </c>
      <c r="C107" s="279" t="s">
        <v>248</v>
      </c>
      <c r="D107" s="279" t="s">
        <v>223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250</v>
      </c>
      <c r="C108" s="279" t="s">
        <v>248</v>
      </c>
      <c r="D108" s="279" t="s">
        <v>105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251</v>
      </c>
      <c r="C109" s="279" t="s">
        <v>248</v>
      </c>
      <c r="D109" s="279" t="s">
        <v>111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1537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255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1538</v>
      </c>
      <c r="C113" s="279" t="s">
        <v>71</v>
      </c>
      <c r="D113" s="279" t="s">
        <v>69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257</v>
      </c>
      <c r="C114" s="279" t="s">
        <v>258</v>
      </c>
      <c r="D114" s="279" t="s">
        <v>131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190</v>
      </c>
      <c r="C115" s="279" t="s">
        <v>854</v>
      </c>
      <c r="D115" s="279" t="s">
        <v>69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1539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279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280</v>
      </c>
      <c r="C119" s="279" t="s">
        <v>281</v>
      </c>
      <c r="D119" s="279" t="s">
        <v>124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282</v>
      </c>
      <c r="C120" s="279" t="s">
        <v>559</v>
      </c>
      <c r="D120" s="279" t="s">
        <v>38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284</v>
      </c>
      <c r="C121" s="279" t="s">
        <v>559</v>
      </c>
      <c r="D121" s="279" t="s">
        <v>38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287</v>
      </c>
      <c r="C122" s="279" t="s">
        <v>289</v>
      </c>
      <c r="D122" s="279" t="s">
        <v>212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288</v>
      </c>
      <c r="C123" s="279" t="s">
        <v>560</v>
      </c>
      <c r="D123" s="279" t="s">
        <v>502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290</v>
      </c>
      <c r="C124" s="279" t="s">
        <v>1476</v>
      </c>
      <c r="D124" s="279" t="s">
        <v>502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293</v>
      </c>
      <c r="C125" s="279" t="s">
        <v>561</v>
      </c>
      <c r="D125" s="279" t="s">
        <v>99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295</v>
      </c>
      <c r="C126" s="279" t="s">
        <v>296</v>
      </c>
      <c r="D126" s="279" t="s">
        <v>276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297</v>
      </c>
      <c r="C127" s="279" t="s">
        <v>292</v>
      </c>
      <c r="D127" s="279" t="s">
        <v>276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1540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300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856</v>
      </c>
      <c r="C131" s="279" t="s">
        <v>857</v>
      </c>
      <c r="D131" s="279" t="s">
        <v>124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304</v>
      </c>
      <c r="C132" s="279" t="s">
        <v>305</v>
      </c>
      <c r="D132" s="279" t="s">
        <v>207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306</v>
      </c>
      <c r="C133" s="279" t="s">
        <v>860</v>
      </c>
      <c r="D133" s="279" t="s">
        <v>46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308</v>
      </c>
      <c r="C134" s="279" t="s">
        <v>312</v>
      </c>
      <c r="D134" s="279" t="s">
        <v>46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310</v>
      </c>
      <c r="C135" s="279" t="s">
        <v>312</v>
      </c>
      <c r="D135" s="279" t="s">
        <v>46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227</v>
      </c>
      <c r="C136" s="279" t="s">
        <v>862</v>
      </c>
      <c r="D136" s="279" t="s">
        <v>502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229</v>
      </c>
      <c r="C137" s="279" t="s">
        <v>861</v>
      </c>
      <c r="D137" s="279" t="s">
        <v>69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313</v>
      </c>
      <c r="C138" s="279" t="s">
        <v>861</v>
      </c>
      <c r="D138" s="279" t="s">
        <v>69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314</v>
      </c>
      <c r="C139" s="279" t="s">
        <v>862</v>
      </c>
      <c r="D139" s="279" t="s">
        <v>69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316</v>
      </c>
      <c r="C140" s="279" t="s">
        <v>564</v>
      </c>
      <c r="D140" s="279" t="s">
        <v>131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318</v>
      </c>
      <c r="C141" s="279" t="s">
        <v>1478</v>
      </c>
      <c r="D141" s="279" t="s">
        <v>151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61</v>
      </c>
      <c r="C142" s="279" t="s">
        <v>863</v>
      </c>
      <c r="D142" s="279" t="s">
        <v>69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320</v>
      </c>
      <c r="C143" s="279" t="s">
        <v>329</v>
      </c>
      <c r="D143" s="279" t="s">
        <v>151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322</v>
      </c>
      <c r="C144" s="279" t="s">
        <v>864</v>
      </c>
      <c r="D144" s="279" t="s">
        <v>74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323</v>
      </c>
      <c r="C145" s="279" t="s">
        <v>864</v>
      </c>
      <c r="D145" s="279" t="s">
        <v>77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325</v>
      </c>
      <c r="C146" s="279" t="s">
        <v>864</v>
      </c>
      <c r="D146" s="279" t="s">
        <v>77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326</v>
      </c>
      <c r="C147" s="279" t="s">
        <v>327</v>
      </c>
      <c r="D147" s="279" t="s">
        <v>80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1462</v>
      </c>
      <c r="C148" s="279" t="s">
        <v>329</v>
      </c>
      <c r="D148" s="279" t="s">
        <v>344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330</v>
      </c>
      <c r="C149" s="279" t="s">
        <v>565</v>
      </c>
      <c r="D149" s="279" t="s">
        <v>74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332</v>
      </c>
      <c r="C150" s="279" t="s">
        <v>566</v>
      </c>
      <c r="D150" s="279" t="s">
        <v>99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334</v>
      </c>
      <c r="C151" s="279" t="s">
        <v>567</v>
      </c>
      <c r="D151" s="279" t="s">
        <v>74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335</v>
      </c>
      <c r="C152" s="279" t="s">
        <v>568</v>
      </c>
      <c r="D152" s="279" t="s">
        <v>99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337</v>
      </c>
      <c r="C153" s="279" t="s">
        <v>348</v>
      </c>
      <c r="D153" s="279" t="s">
        <v>105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345</v>
      </c>
      <c r="C154" s="279" t="s">
        <v>346</v>
      </c>
      <c r="D154" s="279" t="s">
        <v>276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347</v>
      </c>
      <c r="C155" s="279" t="s">
        <v>348</v>
      </c>
      <c r="D155" s="279" t="s">
        <v>276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349</v>
      </c>
      <c r="C156" s="279" t="s">
        <v>350</v>
      </c>
      <c r="D156" s="279" t="s">
        <v>276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351</v>
      </c>
      <c r="C157" s="279" t="s">
        <v>569</v>
      </c>
      <c r="D157" s="279" t="s">
        <v>111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352</v>
      </c>
      <c r="C158" s="279" t="s">
        <v>348</v>
      </c>
      <c r="D158" s="279" t="s">
        <v>276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361</v>
      </c>
      <c r="C159" s="279" t="s">
        <v>362</v>
      </c>
      <c r="D159" s="279" t="s">
        <v>381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364</v>
      </c>
      <c r="C160" s="279" t="s">
        <v>362</v>
      </c>
      <c r="D160" s="279" t="s">
        <v>381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570</v>
      </c>
      <c r="C161" s="279" t="s">
        <v>362</v>
      </c>
      <c r="D161" s="279" t="s">
        <v>381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365</v>
      </c>
      <c r="C162" s="279" t="s">
        <v>362</v>
      </c>
      <c r="D162" s="279" t="s">
        <v>381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366</v>
      </c>
      <c r="C163" s="279" t="s">
        <v>362</v>
      </c>
      <c r="D163" s="279" t="s">
        <v>381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367</v>
      </c>
      <c r="C164" s="279" t="s">
        <v>362</v>
      </c>
      <c r="D164" s="279" t="s">
        <v>510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369</v>
      </c>
      <c r="C165" s="279" t="s">
        <v>362</v>
      </c>
      <c r="D165" s="279" t="s">
        <v>510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370</v>
      </c>
      <c r="C166" s="279" t="s">
        <v>362</v>
      </c>
      <c r="D166" s="279" t="s">
        <v>510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371</v>
      </c>
      <c r="C167" s="279" t="s">
        <v>362</v>
      </c>
      <c r="D167" s="279" t="s">
        <v>510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372</v>
      </c>
      <c r="C168" s="279" t="s">
        <v>362</v>
      </c>
      <c r="D168" s="279" t="s">
        <v>510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359</v>
      </c>
      <c r="C169" s="279" t="s">
        <v>362</v>
      </c>
      <c r="D169" s="279" t="s">
        <v>510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373</v>
      </c>
      <c r="C170" s="279" t="s">
        <v>393</v>
      </c>
      <c r="D170" s="279" t="s">
        <v>512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376</v>
      </c>
      <c r="C171" s="279" t="s">
        <v>393</v>
      </c>
      <c r="D171" s="279" t="s">
        <v>512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377</v>
      </c>
      <c r="C172" s="279" t="s">
        <v>393</v>
      </c>
      <c r="D172" s="279" t="s">
        <v>391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379</v>
      </c>
      <c r="C173" s="279" t="s">
        <v>393</v>
      </c>
      <c r="D173" s="279" t="s">
        <v>408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382</v>
      </c>
      <c r="C174" s="279" t="s">
        <v>390</v>
      </c>
      <c r="D174" s="279" t="s">
        <v>1463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383</v>
      </c>
      <c r="C175" s="279" t="s">
        <v>390</v>
      </c>
      <c r="D175" s="279" t="s">
        <v>1463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384</v>
      </c>
      <c r="C176" s="279" t="s">
        <v>390</v>
      </c>
      <c r="D176" s="279" t="s">
        <v>1463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385</v>
      </c>
      <c r="C177" s="279" t="s">
        <v>390</v>
      </c>
      <c r="D177" s="279" t="s">
        <v>1463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386</v>
      </c>
      <c r="C178" s="279" t="s">
        <v>390</v>
      </c>
      <c r="D178" s="279" t="s">
        <v>1463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387</v>
      </c>
      <c r="C179" s="279" t="s">
        <v>390</v>
      </c>
      <c r="D179" s="279" t="s">
        <v>1463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389</v>
      </c>
      <c r="C180" s="279" t="s">
        <v>390</v>
      </c>
      <c r="D180" s="279" t="s">
        <v>1463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572</v>
      </c>
      <c r="C181" s="279" t="s">
        <v>393</v>
      </c>
      <c r="D181" s="279" t="s">
        <v>1463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392</v>
      </c>
      <c r="C182" s="279" t="s">
        <v>393</v>
      </c>
      <c r="D182" s="279" t="s">
        <v>1463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360</v>
      </c>
      <c r="C183" s="279" t="s">
        <v>390</v>
      </c>
      <c r="D183" s="279" t="s">
        <v>1479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397</v>
      </c>
      <c r="C184" s="279" t="s">
        <v>390</v>
      </c>
      <c r="D184" s="279" t="s">
        <v>513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401</v>
      </c>
      <c r="C185" s="279" t="s">
        <v>402</v>
      </c>
      <c r="D185" s="279" t="s">
        <v>1464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404</v>
      </c>
      <c r="C186" s="279" t="s">
        <v>402</v>
      </c>
      <c r="D186" s="279" t="s">
        <v>1464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405</v>
      </c>
      <c r="C187" s="279" t="s">
        <v>402</v>
      </c>
      <c r="D187" s="279" t="s">
        <v>1464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406</v>
      </c>
      <c r="C188" s="279" t="s">
        <v>407</v>
      </c>
      <c r="D188" s="279" t="s">
        <v>400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409</v>
      </c>
      <c r="C189" s="279" t="s">
        <v>407</v>
      </c>
      <c r="D189" s="279" t="s">
        <v>400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1541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1542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829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1515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21</v>
      </c>
      <c r="B5" s="55" t="s">
        <v>2</v>
      </c>
      <c r="C5" s="55" t="s">
        <v>3</v>
      </c>
      <c r="D5" s="266" t="s">
        <v>1543</v>
      </c>
      <c r="E5" s="266" t="s">
        <v>1466</v>
      </c>
      <c r="F5" s="266" t="s">
        <v>1467</v>
      </c>
      <c r="G5" s="266" t="s">
        <v>1544</v>
      </c>
      <c r="H5" s="267" t="s">
        <v>1520</v>
      </c>
      <c r="I5" s="46"/>
    </row>
    <row r="6" ht="18" spans="1:9">
      <c r="A6" s="43">
        <v>1</v>
      </c>
      <c r="B6" s="43" t="s">
        <v>1545</v>
      </c>
      <c r="C6" s="43" t="s">
        <v>1546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1547</v>
      </c>
      <c r="C7" s="43" t="s">
        <v>1546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1548</v>
      </c>
      <c r="C8" s="43" t="s">
        <v>1549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1547</v>
      </c>
      <c r="C9" s="43" t="s">
        <v>1546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1550</v>
      </c>
      <c r="C10" s="43" t="s">
        <v>1551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1552</v>
      </c>
      <c r="C11" s="43" t="s">
        <v>1553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1554</v>
      </c>
      <c r="C12" s="43" t="s">
        <v>1555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1556</v>
      </c>
      <c r="C13" s="43" t="s">
        <v>1557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1558</v>
      </c>
      <c r="C14" s="43" t="s">
        <v>1557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1559</v>
      </c>
      <c r="C15" s="43" t="s">
        <v>1555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1560</v>
      </c>
      <c r="C16" s="43" t="s">
        <v>1561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1562</v>
      </c>
      <c r="C17" s="43" t="s">
        <v>1549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1563</v>
      </c>
      <c r="C18" s="43" t="s">
        <v>1564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1565</v>
      </c>
      <c r="C19" s="43" t="s">
        <v>1551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1566</v>
      </c>
      <c r="C20" s="43" t="s">
        <v>903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1567</v>
      </c>
      <c r="C21" s="43" t="s">
        <v>1568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1569</v>
      </c>
      <c r="C22" s="43" t="s">
        <v>1551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1570</v>
      </c>
      <c r="C23" s="43" t="s">
        <v>600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1571</v>
      </c>
      <c r="C24" s="43" t="s">
        <v>600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1572</v>
      </c>
      <c r="C25" s="43" t="s">
        <v>600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1573</v>
      </c>
      <c r="C26" s="43" t="s">
        <v>600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1574</v>
      </c>
      <c r="C27" s="43" t="s">
        <v>1575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1576</v>
      </c>
      <c r="C28" s="43" t="s">
        <v>1577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1578</v>
      </c>
      <c r="C29" s="43" t="s">
        <v>1579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1580</v>
      </c>
      <c r="C30" s="43" t="s">
        <v>1561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1030</v>
      </c>
      <c r="C31" s="43" t="s">
        <v>600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1581</v>
      </c>
      <c r="C32" s="43" t="s">
        <v>1549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1582</v>
      </c>
      <c r="C33" s="43" t="s">
        <v>1549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1008</v>
      </c>
      <c r="C34" s="43" t="s">
        <v>600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1031</v>
      </c>
      <c r="C35" s="43" t="s">
        <v>600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764</v>
      </c>
      <c r="C36" s="43" t="s">
        <v>1583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1032</v>
      </c>
      <c r="C37" s="43" t="s">
        <v>600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1033</v>
      </c>
      <c r="C38" s="43" t="s">
        <v>767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1584</v>
      </c>
      <c r="C39" s="43" t="s">
        <v>600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1034</v>
      </c>
      <c r="C40" s="43" t="s">
        <v>600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1585</v>
      </c>
      <c r="C41" s="43" t="s">
        <v>1551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1586</v>
      </c>
      <c r="C42" s="43" t="s">
        <v>1551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1587</v>
      </c>
      <c r="C43" s="43" t="s">
        <v>1551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1588</v>
      </c>
      <c r="C44" s="43" t="s">
        <v>1551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1589</v>
      </c>
      <c r="C45" s="43" t="s">
        <v>1551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790</v>
      </c>
      <c r="C46" s="43" t="s">
        <v>1551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1590</v>
      </c>
      <c r="C47" s="43" t="s">
        <v>600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795</v>
      </c>
      <c r="C48" s="43" t="s">
        <v>1551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1591</v>
      </c>
      <c r="C49" s="43" t="s">
        <v>1551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1592</v>
      </c>
      <c r="C50" s="43" t="s">
        <v>600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787</v>
      </c>
      <c r="C51" s="43" t="s">
        <v>1551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796</v>
      </c>
      <c r="C52" s="43" t="s">
        <v>1551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1593</v>
      </c>
      <c r="C53" s="43" t="s">
        <v>600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1594</v>
      </c>
      <c r="C54" s="43" t="s">
        <v>600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1595</v>
      </c>
      <c r="C55" s="43" t="s">
        <v>600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1596</v>
      </c>
      <c r="C56" s="43" t="s">
        <v>600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1597</v>
      </c>
      <c r="C57" s="43" t="s">
        <v>1551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1598</v>
      </c>
      <c r="C58" s="43" t="s">
        <v>1551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1003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21</v>
      </c>
      <c r="B2" s="42" t="s">
        <v>472</v>
      </c>
      <c r="C2" s="42" t="s">
        <v>3</v>
      </c>
      <c r="D2" s="259" t="s">
        <v>1599</v>
      </c>
      <c r="E2" s="259" t="s">
        <v>15</v>
      </c>
      <c r="F2" s="259" t="s">
        <v>1600</v>
      </c>
      <c r="G2" s="46"/>
      <c r="H2" s="46"/>
      <c r="I2" s="46"/>
      <c r="J2" s="46"/>
    </row>
    <row r="3" ht="35.1" customHeight="1" spans="1:10">
      <c r="A3" s="49">
        <v>1</v>
      </c>
      <c r="B3" s="43" t="s">
        <v>177</v>
      </c>
      <c r="C3" s="43" t="s">
        <v>150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1601</v>
      </c>
      <c r="C4" s="43" t="s">
        <v>1602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120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1603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597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450000</v>
      </c>
      <c r="F7" s="13"/>
    </row>
    <row r="8" customHeight="1" spans="1:6">
      <c r="A8" s="10">
        <v>2</v>
      </c>
      <c r="B8" s="11" t="s">
        <v>1521</v>
      </c>
      <c r="C8" s="4" t="s">
        <v>1604</v>
      </c>
      <c r="D8" s="10" t="s">
        <v>35</v>
      </c>
      <c r="E8" s="242">
        <v>150000</v>
      </c>
      <c r="F8" s="13"/>
    </row>
    <row r="9" customHeight="1" spans="1:6">
      <c r="A9" s="10">
        <v>3</v>
      </c>
      <c r="B9" s="14" t="s">
        <v>1605</v>
      </c>
      <c r="C9" s="4" t="s">
        <v>1606</v>
      </c>
      <c r="D9" s="10" t="s">
        <v>35</v>
      </c>
      <c r="E9" s="242">
        <v>150000</v>
      </c>
      <c r="F9" s="13"/>
    </row>
    <row r="10" customHeight="1" spans="1:6">
      <c r="A10" s="10">
        <v>4</v>
      </c>
      <c r="B10" s="11" t="s">
        <v>26</v>
      </c>
      <c r="C10" s="12" t="s">
        <v>27</v>
      </c>
      <c r="D10" s="10" t="s">
        <v>28</v>
      </c>
      <c r="E10" s="242">
        <v>150000</v>
      </c>
      <c r="F10" s="13"/>
    </row>
    <row r="11" customHeight="1" spans="1:6">
      <c r="A11" s="10">
        <v>5</v>
      </c>
      <c r="B11" s="14" t="s">
        <v>29</v>
      </c>
      <c r="C11" s="4" t="s">
        <v>30</v>
      </c>
      <c r="D11" s="15" t="s">
        <v>207</v>
      </c>
      <c r="E11" s="242">
        <v>150000</v>
      </c>
      <c r="F11" s="13"/>
    </row>
    <row r="12" customHeight="1" spans="1:6">
      <c r="A12" s="10">
        <v>6</v>
      </c>
      <c r="B12" s="14" t="s">
        <v>225</v>
      </c>
      <c r="C12" s="4" t="s">
        <v>1523</v>
      </c>
      <c r="D12" s="16" t="s">
        <v>207</v>
      </c>
      <c r="E12" s="242">
        <v>150000</v>
      </c>
      <c r="F12" s="13"/>
    </row>
    <row r="13" customHeight="1" spans="1:6">
      <c r="A13" s="10">
        <v>7</v>
      </c>
      <c r="B13" s="11" t="s">
        <v>31</v>
      </c>
      <c r="C13" s="17" t="s">
        <v>32</v>
      </c>
      <c r="D13" s="16" t="s">
        <v>207</v>
      </c>
      <c r="E13" s="242">
        <v>150000</v>
      </c>
      <c r="F13" s="13"/>
    </row>
    <row r="14" customHeight="1" spans="1:6">
      <c r="A14" s="10">
        <v>8</v>
      </c>
      <c r="B14" s="14" t="s">
        <v>301</v>
      </c>
      <c r="C14" s="4" t="s">
        <v>832</v>
      </c>
      <c r="D14" s="16" t="s">
        <v>207</v>
      </c>
      <c r="E14" s="242">
        <v>150000</v>
      </c>
      <c r="F14" s="13"/>
    </row>
    <row r="15" customHeight="1" spans="1:6">
      <c r="A15" s="10">
        <v>9</v>
      </c>
      <c r="B15" s="11" t="s">
        <v>33</v>
      </c>
      <c r="C15" s="12" t="s">
        <v>835</v>
      </c>
      <c r="D15" s="15" t="s">
        <v>38</v>
      </c>
      <c r="E15" s="242">
        <v>105000</v>
      </c>
      <c r="F15" s="13"/>
    </row>
    <row r="16" customHeight="1" spans="1:6">
      <c r="A16" s="10">
        <v>10</v>
      </c>
      <c r="B16" s="18" t="s">
        <v>183</v>
      </c>
      <c r="C16" s="12" t="s">
        <v>851</v>
      </c>
      <c r="D16" s="10" t="s">
        <v>850</v>
      </c>
      <c r="E16" s="242">
        <v>105000</v>
      </c>
      <c r="F16" s="13"/>
    </row>
    <row r="17" customHeight="1" spans="1:6">
      <c r="A17" s="10">
        <v>11</v>
      </c>
      <c r="B17" s="19" t="s">
        <v>1607</v>
      </c>
      <c r="C17" s="4" t="s">
        <v>1608</v>
      </c>
      <c r="D17" s="16" t="s">
        <v>46</v>
      </c>
      <c r="E17" s="242">
        <v>75000</v>
      </c>
      <c r="F17" s="13"/>
    </row>
    <row r="18" ht="19.5" customHeight="1" spans="1:6">
      <c r="A18" s="10">
        <v>12</v>
      </c>
      <c r="B18" s="14" t="s">
        <v>1524</v>
      </c>
      <c r="C18" s="4" t="s">
        <v>547</v>
      </c>
      <c r="D18" s="10" t="s">
        <v>46</v>
      </c>
      <c r="E18" s="242">
        <v>75000</v>
      </c>
      <c r="F18" s="13"/>
    </row>
    <row r="19" ht="19.5" customHeight="1" spans="1:6">
      <c r="A19" s="10">
        <v>13</v>
      </c>
      <c r="B19" s="14" t="s">
        <v>1609</v>
      </c>
      <c r="C19" s="4" t="s">
        <v>1610</v>
      </c>
      <c r="D19" s="10" t="s">
        <v>46</v>
      </c>
      <c r="E19" s="242">
        <v>75000</v>
      </c>
      <c r="F19" s="13"/>
    </row>
    <row r="20" customHeight="1" spans="1:6">
      <c r="A20" s="10">
        <v>14</v>
      </c>
      <c r="B20" s="11" t="s">
        <v>39</v>
      </c>
      <c r="C20" s="4" t="s">
        <v>547</v>
      </c>
      <c r="D20" s="15" t="s">
        <v>46</v>
      </c>
      <c r="E20" s="242">
        <v>75000</v>
      </c>
      <c r="F20" s="13"/>
    </row>
    <row r="21" customHeight="1" spans="1:6">
      <c r="A21" s="10">
        <v>15</v>
      </c>
      <c r="B21" s="11" t="s">
        <v>50</v>
      </c>
      <c r="C21" s="12" t="s">
        <v>60</v>
      </c>
      <c r="D21" s="15" t="s">
        <v>215</v>
      </c>
      <c r="E21" s="242">
        <v>75000</v>
      </c>
      <c r="F21" s="13"/>
    </row>
    <row r="22" customHeight="1" spans="1:6">
      <c r="A22" s="10">
        <v>16</v>
      </c>
      <c r="B22" s="18" t="s">
        <v>53</v>
      </c>
      <c r="C22" s="4" t="s">
        <v>54</v>
      </c>
      <c r="D22" s="15" t="s">
        <v>503</v>
      </c>
      <c r="E22" s="242">
        <v>75000</v>
      </c>
      <c r="F22" s="13"/>
    </row>
    <row r="23" customHeight="1" spans="1:6">
      <c r="A23" s="10">
        <v>17</v>
      </c>
      <c r="B23" s="11" t="s">
        <v>190</v>
      </c>
      <c r="C23" s="12" t="s">
        <v>854</v>
      </c>
      <c r="D23" s="15" t="s">
        <v>69</v>
      </c>
      <c r="E23" s="242">
        <v>45000</v>
      </c>
      <c r="F23" s="13"/>
    </row>
    <row r="24" ht="18.75" customHeight="1" spans="1:6">
      <c r="A24" s="10">
        <v>18</v>
      </c>
      <c r="B24" s="11" t="s">
        <v>64</v>
      </c>
      <c r="C24" s="12" t="s">
        <v>176</v>
      </c>
      <c r="D24" s="15" t="s">
        <v>131</v>
      </c>
      <c r="E24" s="242">
        <v>45000</v>
      </c>
      <c r="F24" s="13"/>
    </row>
    <row r="25" ht="18.75" customHeight="1" spans="1:6">
      <c r="A25" s="10">
        <v>19</v>
      </c>
      <c r="B25" s="11" t="s">
        <v>257</v>
      </c>
      <c r="C25" s="4" t="s">
        <v>258</v>
      </c>
      <c r="D25" s="15" t="s">
        <v>131</v>
      </c>
      <c r="E25" s="242">
        <v>45000</v>
      </c>
      <c r="F25" s="13"/>
    </row>
    <row r="26" ht="18.75" customHeight="1" spans="1:6">
      <c r="A26" s="10">
        <v>20</v>
      </c>
      <c r="B26" s="18" t="s">
        <v>1611</v>
      </c>
      <c r="C26" s="12" t="s">
        <v>104</v>
      </c>
      <c r="D26" s="15" t="s">
        <v>77</v>
      </c>
      <c r="E26" s="242">
        <v>45000</v>
      </c>
      <c r="F26" s="13"/>
    </row>
    <row r="27" ht="18.75" customHeight="1" spans="1:6">
      <c r="A27" s="10">
        <v>21</v>
      </c>
      <c r="B27" s="4" t="s">
        <v>485</v>
      </c>
      <c r="C27" s="4" t="s">
        <v>94</v>
      </c>
      <c r="D27" s="10" t="s">
        <v>99</v>
      </c>
      <c r="E27" s="242">
        <v>45000</v>
      </c>
      <c r="F27" s="13"/>
    </row>
    <row r="28" ht="18.75" customHeight="1" spans="1:6">
      <c r="A28" s="10">
        <v>22</v>
      </c>
      <c r="B28" s="18" t="s">
        <v>78</v>
      </c>
      <c r="C28" s="12" t="s">
        <v>94</v>
      </c>
      <c r="D28" s="15" t="s">
        <v>99</v>
      </c>
      <c r="E28" s="242">
        <v>45000</v>
      </c>
      <c r="F28" s="13"/>
    </row>
    <row r="29" ht="18.75" customHeight="1" spans="1:6">
      <c r="A29" s="10">
        <v>23</v>
      </c>
      <c r="B29" s="11" t="s">
        <v>1525</v>
      </c>
      <c r="C29" s="12" t="s">
        <v>1526</v>
      </c>
      <c r="D29" s="15" t="s">
        <v>99</v>
      </c>
      <c r="E29" s="242">
        <v>45000</v>
      </c>
      <c r="F29" s="13"/>
    </row>
    <row r="30" ht="18.75" customHeight="1" spans="1:6">
      <c r="A30" s="10">
        <v>24</v>
      </c>
      <c r="B30" s="18" t="s">
        <v>83</v>
      </c>
      <c r="C30" s="12" t="s">
        <v>1473</v>
      </c>
      <c r="D30" s="15" t="s">
        <v>105</v>
      </c>
      <c r="E30" s="242">
        <v>45000</v>
      </c>
      <c r="F30" s="13"/>
    </row>
    <row r="31" ht="18.75" customHeight="1" spans="1:6">
      <c r="A31" s="10">
        <v>25</v>
      </c>
      <c r="B31" s="18" t="s">
        <v>86</v>
      </c>
      <c r="C31" s="4" t="s">
        <v>1527</v>
      </c>
      <c r="D31" s="10" t="s">
        <v>105</v>
      </c>
      <c r="E31" s="242">
        <v>45000</v>
      </c>
      <c r="F31" s="13"/>
    </row>
    <row r="32" ht="18.75" customHeight="1" spans="1:6">
      <c r="A32" s="10">
        <v>26</v>
      </c>
      <c r="B32" s="18" t="s">
        <v>91</v>
      </c>
      <c r="C32" s="17" t="s">
        <v>550</v>
      </c>
      <c r="D32" s="15" t="s">
        <v>99</v>
      </c>
      <c r="E32" s="242">
        <v>45000</v>
      </c>
      <c r="F32" s="13"/>
    </row>
    <row r="33" ht="18.75" customHeight="1" spans="1:6">
      <c r="A33" s="10">
        <v>27</v>
      </c>
      <c r="B33" s="18" t="s">
        <v>95</v>
      </c>
      <c r="C33" s="4" t="s">
        <v>551</v>
      </c>
      <c r="D33" s="10" t="s">
        <v>111</v>
      </c>
      <c r="E33" s="242">
        <v>45000</v>
      </c>
      <c r="F33" s="13"/>
    </row>
    <row r="34" ht="18.75" customHeight="1" spans="1:6">
      <c r="A34" s="10">
        <v>28</v>
      </c>
      <c r="B34" s="18" t="s">
        <v>1454</v>
      </c>
      <c r="C34" s="12" t="s">
        <v>104</v>
      </c>
      <c r="D34" s="15" t="s">
        <v>111</v>
      </c>
      <c r="E34" s="242">
        <v>45000</v>
      </c>
      <c r="F34" s="13"/>
    </row>
    <row r="35" ht="18.75" customHeight="1" spans="1:6">
      <c r="A35" s="10">
        <v>29</v>
      </c>
      <c r="B35" s="18" t="s">
        <v>1612</v>
      </c>
      <c r="C35" s="12" t="s">
        <v>104</v>
      </c>
      <c r="D35" s="15" t="s">
        <v>111</v>
      </c>
      <c r="E35" s="242">
        <v>45000</v>
      </c>
      <c r="F35" s="13"/>
    </row>
    <row r="36" ht="18.75" customHeight="1" spans="1:6">
      <c r="A36" s="10">
        <v>30</v>
      </c>
      <c r="B36" s="18" t="s">
        <v>297</v>
      </c>
      <c r="C36" s="12" t="s">
        <v>292</v>
      </c>
      <c r="D36" s="15" t="s">
        <v>276</v>
      </c>
      <c r="E36" s="242">
        <v>45000</v>
      </c>
      <c r="F36" s="13"/>
    </row>
    <row r="37" ht="26.25" customHeight="1" spans="1:6">
      <c r="A37" s="10"/>
      <c r="B37" s="20" t="s">
        <v>120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121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122</v>
      </c>
      <c r="C40" s="4" t="s">
        <v>123</v>
      </c>
      <c r="D40" s="10" t="s">
        <v>124</v>
      </c>
      <c r="E40" s="242">
        <v>225000</v>
      </c>
      <c r="F40" s="13"/>
    </row>
    <row r="41" ht="18.75" customHeight="1" spans="1:6">
      <c r="A41" s="10">
        <v>2</v>
      </c>
      <c r="B41" s="18" t="s">
        <v>127</v>
      </c>
      <c r="C41" s="4" t="s">
        <v>1064</v>
      </c>
      <c r="D41" s="10" t="s">
        <v>276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137</v>
      </c>
      <c r="C44" s="5"/>
      <c r="D44" s="24"/>
      <c r="E44" s="242"/>
      <c r="F44" s="13"/>
    </row>
    <row r="45" customHeight="1" spans="1:6">
      <c r="A45" s="10">
        <v>1</v>
      </c>
      <c r="B45" s="11" t="s">
        <v>837</v>
      </c>
      <c r="C45" s="4" t="s">
        <v>838</v>
      </c>
      <c r="D45" s="10" t="s">
        <v>124</v>
      </c>
      <c r="E45" s="242">
        <v>225000</v>
      </c>
      <c r="F45" s="13"/>
    </row>
    <row r="46" customHeight="1" spans="1:6">
      <c r="A46" s="10">
        <v>2</v>
      </c>
      <c r="B46" s="11" t="s">
        <v>839</v>
      </c>
      <c r="C46" s="4" t="s">
        <v>43</v>
      </c>
      <c r="D46" s="10" t="s">
        <v>38</v>
      </c>
      <c r="E46" s="242">
        <v>105000</v>
      </c>
      <c r="F46" s="13"/>
    </row>
    <row r="47" customHeight="1" spans="1:6">
      <c r="A47" s="10">
        <v>3</v>
      </c>
      <c r="B47" s="11" t="s">
        <v>138</v>
      </c>
      <c r="C47" s="4" t="s">
        <v>142</v>
      </c>
      <c r="D47" s="10" t="s">
        <v>38</v>
      </c>
      <c r="E47" s="242">
        <v>105000</v>
      </c>
      <c r="F47" s="13"/>
    </row>
    <row r="48" customHeight="1" spans="1:6">
      <c r="A48" s="10">
        <v>4</v>
      </c>
      <c r="B48" s="11" t="s">
        <v>141</v>
      </c>
      <c r="C48" s="4" t="s">
        <v>142</v>
      </c>
      <c r="D48" s="10" t="s">
        <v>38</v>
      </c>
      <c r="E48" s="242">
        <v>105000</v>
      </c>
      <c r="F48" s="13"/>
    </row>
    <row r="49" customHeight="1" spans="1:6">
      <c r="A49" s="10">
        <v>5</v>
      </c>
      <c r="B49" s="11" t="s">
        <v>143</v>
      </c>
      <c r="C49" s="4" t="s">
        <v>142</v>
      </c>
      <c r="D49" s="10" t="s">
        <v>49</v>
      </c>
      <c r="E49" s="242">
        <v>105000</v>
      </c>
      <c r="F49" s="13"/>
    </row>
    <row r="50" customHeight="1" spans="1:6">
      <c r="A50" s="10">
        <v>6</v>
      </c>
      <c r="B50" s="11" t="s">
        <v>144</v>
      </c>
      <c r="C50" s="4" t="s">
        <v>45</v>
      </c>
      <c r="D50" s="10" t="s">
        <v>46</v>
      </c>
      <c r="E50" s="242">
        <v>75000</v>
      </c>
      <c r="F50" s="13"/>
    </row>
    <row r="51" customHeight="1" spans="1:6">
      <c r="A51" s="10">
        <v>7</v>
      </c>
      <c r="B51" s="14" t="s">
        <v>145</v>
      </c>
      <c r="C51" s="4" t="s">
        <v>51</v>
      </c>
      <c r="D51" s="16" t="s">
        <v>46</v>
      </c>
      <c r="E51" s="242">
        <v>75000</v>
      </c>
      <c r="F51" s="13"/>
    </row>
    <row r="52" customHeight="1" spans="1:6">
      <c r="A52" s="10">
        <v>8</v>
      </c>
      <c r="B52" s="11" t="s">
        <v>1530</v>
      </c>
      <c r="C52" s="4" t="s">
        <v>51</v>
      </c>
      <c r="D52" s="10" t="s">
        <v>212</v>
      </c>
      <c r="E52" s="242">
        <v>75000</v>
      </c>
      <c r="F52" s="13"/>
    </row>
    <row r="53" customHeight="1" spans="1:6">
      <c r="A53" s="10">
        <v>9</v>
      </c>
      <c r="B53" s="11" t="s">
        <v>44</v>
      </c>
      <c r="C53" s="4" t="s">
        <v>852</v>
      </c>
      <c r="D53" s="10" t="s">
        <v>502</v>
      </c>
      <c r="E53" s="242">
        <v>75000</v>
      </c>
      <c r="F53" s="13"/>
    </row>
    <row r="54" customHeight="1" spans="1:6">
      <c r="A54" s="10">
        <v>10</v>
      </c>
      <c r="B54" s="11" t="s">
        <v>153</v>
      </c>
      <c r="C54" s="4" t="s">
        <v>150</v>
      </c>
      <c r="D54" s="10" t="s">
        <v>344</v>
      </c>
      <c r="E54" s="242">
        <v>45000</v>
      </c>
      <c r="F54" s="13"/>
    </row>
    <row r="55" customHeight="1" spans="1:6">
      <c r="A55" s="10">
        <v>11</v>
      </c>
      <c r="B55" s="11" t="s">
        <v>840</v>
      </c>
      <c r="C55" s="4" t="s">
        <v>150</v>
      </c>
      <c r="D55" s="10" t="s">
        <v>344</v>
      </c>
      <c r="E55" s="242">
        <v>45000</v>
      </c>
      <c r="F55" s="13"/>
    </row>
    <row r="56" customHeight="1" spans="1:6">
      <c r="A56" s="10">
        <v>12</v>
      </c>
      <c r="B56" s="11" t="s">
        <v>154</v>
      </c>
      <c r="C56" s="4" t="s">
        <v>150</v>
      </c>
      <c r="D56" s="10" t="s">
        <v>344</v>
      </c>
      <c r="E56" s="242">
        <v>45000</v>
      </c>
      <c r="F56" s="13"/>
    </row>
    <row r="57" ht="25.5" customHeight="1" spans="1:6">
      <c r="A57" s="10"/>
      <c r="B57" s="20" t="s">
        <v>120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156</v>
      </c>
      <c r="C59" s="21"/>
      <c r="D59" s="21"/>
      <c r="E59" s="246"/>
      <c r="F59" s="13"/>
    </row>
    <row r="60" customHeight="1" spans="1:6">
      <c r="A60" s="10">
        <v>1</v>
      </c>
      <c r="B60" s="11" t="s">
        <v>841</v>
      </c>
      <c r="C60" s="12" t="s">
        <v>158</v>
      </c>
      <c r="D60" s="15" t="s">
        <v>124</v>
      </c>
      <c r="E60" s="242">
        <v>225000</v>
      </c>
      <c r="F60" s="13"/>
    </row>
    <row r="61" customHeight="1" spans="1:6">
      <c r="A61" s="10">
        <v>2</v>
      </c>
      <c r="B61" s="11" t="s">
        <v>159</v>
      </c>
      <c r="C61" s="12" t="s">
        <v>160</v>
      </c>
      <c r="D61" s="15" t="s">
        <v>850</v>
      </c>
      <c r="E61" s="242">
        <v>105000</v>
      </c>
      <c r="F61" s="13"/>
    </row>
    <row r="62" customHeight="1" spans="1:6">
      <c r="A62" s="10"/>
      <c r="B62" s="20" t="s">
        <v>120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162</v>
      </c>
      <c r="C64" s="21"/>
      <c r="D64" s="21"/>
      <c r="E64" s="246"/>
      <c r="F64" s="13"/>
    </row>
    <row r="65" customHeight="1" spans="1:6">
      <c r="A65" s="10">
        <v>1</v>
      </c>
      <c r="B65" s="11" t="s">
        <v>842</v>
      </c>
      <c r="C65" s="17" t="s">
        <v>843</v>
      </c>
      <c r="D65" s="10" t="s">
        <v>124</v>
      </c>
      <c r="E65" s="242">
        <v>225000</v>
      </c>
      <c r="F65" s="13"/>
    </row>
    <row r="66" customHeight="1" spans="1:6">
      <c r="A66" s="10">
        <v>2</v>
      </c>
      <c r="B66" s="18" t="s">
        <v>844</v>
      </c>
      <c r="C66" s="17" t="s">
        <v>845</v>
      </c>
      <c r="D66" s="15" t="s">
        <v>1461</v>
      </c>
      <c r="E66" s="242">
        <v>105000</v>
      </c>
      <c r="F66" s="13"/>
    </row>
    <row r="67" customHeight="1" spans="1:6">
      <c r="A67" s="10">
        <v>3</v>
      </c>
      <c r="B67" s="11" t="s">
        <v>165</v>
      </c>
      <c r="C67" s="4" t="s">
        <v>167</v>
      </c>
      <c r="D67" s="10" t="s">
        <v>502</v>
      </c>
      <c r="E67" s="242">
        <v>75000</v>
      </c>
      <c r="F67" s="13"/>
    </row>
    <row r="68" customHeight="1" spans="1:6">
      <c r="A68" s="10">
        <v>4</v>
      </c>
      <c r="B68" s="18" t="s">
        <v>846</v>
      </c>
      <c r="C68" s="17" t="s">
        <v>167</v>
      </c>
      <c r="D68" s="15" t="s">
        <v>215</v>
      </c>
      <c r="E68" s="242">
        <v>75000</v>
      </c>
      <c r="F68" s="13"/>
    </row>
    <row r="69" customHeight="1" spans="1:6">
      <c r="A69" s="10">
        <v>5</v>
      </c>
      <c r="B69" s="14" t="s">
        <v>847</v>
      </c>
      <c r="C69" s="17" t="s">
        <v>51</v>
      </c>
      <c r="D69" s="15" t="s">
        <v>46</v>
      </c>
      <c r="E69" s="242">
        <v>75000</v>
      </c>
      <c r="F69" s="13"/>
    </row>
    <row r="70" customHeight="1" spans="1:6">
      <c r="A70" s="10">
        <v>6</v>
      </c>
      <c r="B70" s="14" t="s">
        <v>42</v>
      </c>
      <c r="C70" s="17" t="s">
        <v>51</v>
      </c>
      <c r="D70" s="15" t="s">
        <v>212</v>
      </c>
      <c r="E70" s="242">
        <v>75000</v>
      </c>
      <c r="F70" s="13"/>
    </row>
    <row r="71" customHeight="1" spans="1:6">
      <c r="A71" s="10">
        <v>7</v>
      </c>
      <c r="B71" s="11" t="s">
        <v>169</v>
      </c>
      <c r="C71" s="4" t="s">
        <v>150</v>
      </c>
      <c r="D71" s="10" t="s">
        <v>504</v>
      </c>
      <c r="E71" s="242">
        <v>45000</v>
      </c>
      <c r="F71" s="13"/>
    </row>
    <row r="72" customHeight="1" spans="1:6">
      <c r="A72" s="10">
        <v>8</v>
      </c>
      <c r="B72" s="11" t="s">
        <v>1538</v>
      </c>
      <c r="C72" s="17" t="s">
        <v>71</v>
      </c>
      <c r="D72" s="15" t="s">
        <v>69</v>
      </c>
      <c r="E72" s="242">
        <v>45000</v>
      </c>
      <c r="F72" s="13"/>
    </row>
    <row r="73" customHeight="1" spans="1:6">
      <c r="A73" s="10">
        <v>9</v>
      </c>
      <c r="B73" s="11" t="s">
        <v>171</v>
      </c>
      <c r="C73" s="17" t="s">
        <v>71</v>
      </c>
      <c r="D73" s="15" t="s">
        <v>504</v>
      </c>
      <c r="E73" s="242">
        <v>45000</v>
      </c>
      <c r="F73" s="13"/>
    </row>
    <row r="74" customHeight="1" spans="1:6">
      <c r="A74" s="10">
        <v>10</v>
      </c>
      <c r="B74" s="11" t="s">
        <v>172</v>
      </c>
      <c r="C74" s="17" t="s">
        <v>71</v>
      </c>
      <c r="D74" s="15" t="s">
        <v>504</v>
      </c>
      <c r="E74" s="242">
        <v>45000</v>
      </c>
      <c r="F74" s="13"/>
    </row>
    <row r="75" customHeight="1" spans="1:6">
      <c r="A75" s="10">
        <v>11</v>
      </c>
      <c r="B75" s="11" t="s">
        <v>173</v>
      </c>
      <c r="C75" s="4" t="s">
        <v>553</v>
      </c>
      <c r="D75" s="10" t="s">
        <v>131</v>
      </c>
      <c r="E75" s="242">
        <v>45000</v>
      </c>
      <c r="F75" s="13"/>
    </row>
    <row r="76" customHeight="1" spans="1:6">
      <c r="A76" s="10">
        <v>12</v>
      </c>
      <c r="B76" s="11" t="s">
        <v>1613</v>
      </c>
      <c r="C76" s="17" t="s">
        <v>150</v>
      </c>
      <c r="D76" s="10" t="s">
        <v>74</v>
      </c>
      <c r="E76" s="242">
        <v>45000</v>
      </c>
      <c r="F76" s="13"/>
    </row>
    <row r="77" customHeight="1" spans="1:6">
      <c r="A77" s="10">
        <v>13</v>
      </c>
      <c r="B77" s="11" t="s">
        <v>81</v>
      </c>
      <c r="C77" s="17" t="s">
        <v>68</v>
      </c>
      <c r="D77" s="10" t="s">
        <v>99</v>
      </c>
      <c r="E77" s="242">
        <v>45000</v>
      </c>
      <c r="F77" s="13"/>
    </row>
    <row r="78" customHeight="1" spans="1:6">
      <c r="A78" s="10">
        <v>14</v>
      </c>
      <c r="B78" s="14" t="s">
        <v>67</v>
      </c>
      <c r="C78" s="17" t="s">
        <v>68</v>
      </c>
      <c r="D78" s="10" t="s">
        <v>111</v>
      </c>
      <c r="E78" s="242">
        <v>45000</v>
      </c>
      <c r="F78" s="13"/>
    </row>
    <row r="79" customHeight="1" spans="1:6">
      <c r="A79" s="10"/>
      <c r="B79" s="20" t="s">
        <v>120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180</v>
      </c>
      <c r="C81" s="21"/>
      <c r="D81" s="21"/>
      <c r="E81" s="246"/>
      <c r="F81" s="13"/>
    </row>
    <row r="82" customHeight="1" spans="1:6">
      <c r="A82" s="10">
        <v>1</v>
      </c>
      <c r="B82" s="11" t="s">
        <v>181</v>
      </c>
      <c r="C82" s="4" t="s">
        <v>182</v>
      </c>
      <c r="D82" s="10" t="s">
        <v>124</v>
      </c>
      <c r="E82" s="242">
        <v>225000</v>
      </c>
      <c r="F82" s="13"/>
    </row>
    <row r="83" customHeight="1" spans="1:6">
      <c r="A83" s="10">
        <v>2</v>
      </c>
      <c r="B83" s="14" t="s">
        <v>848</v>
      </c>
      <c r="C83" s="4" t="s">
        <v>849</v>
      </c>
      <c r="D83" s="15" t="s">
        <v>1461</v>
      </c>
      <c r="E83" s="242">
        <v>105000</v>
      </c>
      <c r="F83" s="13"/>
    </row>
    <row r="84" customHeight="1" spans="1:6">
      <c r="A84" s="10">
        <v>3</v>
      </c>
      <c r="B84" s="14" t="s">
        <v>1614</v>
      </c>
      <c r="C84" s="4" t="s">
        <v>1615</v>
      </c>
      <c r="D84" s="15" t="s">
        <v>1461</v>
      </c>
      <c r="E84" s="242">
        <v>105000</v>
      </c>
      <c r="F84" s="13"/>
    </row>
    <row r="85" customHeight="1" spans="1:6">
      <c r="A85" s="10">
        <v>4</v>
      </c>
      <c r="B85" s="11" t="s">
        <v>187</v>
      </c>
      <c r="C85" s="4" t="s">
        <v>1474</v>
      </c>
      <c r="D85" s="15" t="s">
        <v>502</v>
      </c>
      <c r="E85" s="242">
        <v>75000</v>
      </c>
      <c r="F85" s="13"/>
    </row>
    <row r="86" customHeight="1" spans="1:6">
      <c r="A86" s="10">
        <v>5</v>
      </c>
      <c r="B86" s="11" t="s">
        <v>194</v>
      </c>
      <c r="C86" s="4" t="s">
        <v>179</v>
      </c>
      <c r="D86" s="10" t="s">
        <v>74</v>
      </c>
      <c r="E86" s="242">
        <v>45000</v>
      </c>
      <c r="F86" s="13"/>
    </row>
    <row r="87" customHeight="1" spans="1:6">
      <c r="A87" s="10"/>
      <c r="B87" s="20" t="s">
        <v>120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202</v>
      </c>
      <c r="C89" s="25"/>
      <c r="D89" s="21"/>
      <c r="E89" s="242"/>
      <c r="F89" s="13"/>
    </row>
    <row r="90" customHeight="1" spans="1:6">
      <c r="A90" s="10">
        <v>1</v>
      </c>
      <c r="B90" s="11" t="s">
        <v>205</v>
      </c>
      <c r="C90" s="4" t="s">
        <v>142</v>
      </c>
      <c r="D90" s="10" t="s">
        <v>38</v>
      </c>
      <c r="E90" s="242">
        <v>105000</v>
      </c>
      <c r="F90" s="13"/>
    </row>
    <row r="91" customHeight="1" spans="1:6">
      <c r="A91" s="10">
        <v>2</v>
      </c>
      <c r="B91" s="11" t="s">
        <v>203</v>
      </c>
      <c r="C91" s="4" t="s">
        <v>142</v>
      </c>
      <c r="D91" s="10" t="s">
        <v>38</v>
      </c>
      <c r="E91" s="242">
        <v>105000</v>
      </c>
      <c r="F91" s="13"/>
    </row>
    <row r="92" customHeight="1" spans="1:6">
      <c r="A92" s="10">
        <v>3</v>
      </c>
      <c r="B92" s="14" t="s">
        <v>163</v>
      </c>
      <c r="C92" s="4" t="s">
        <v>51</v>
      </c>
      <c r="D92" s="10" t="s">
        <v>189</v>
      </c>
      <c r="E92" s="242">
        <v>75000</v>
      </c>
      <c r="F92" s="13"/>
    </row>
    <row r="93" customHeight="1" spans="1:6">
      <c r="A93" s="10">
        <v>4</v>
      </c>
      <c r="B93" s="11" t="s">
        <v>208</v>
      </c>
      <c r="C93" s="4" t="s">
        <v>45</v>
      </c>
      <c r="D93" s="10" t="s">
        <v>46</v>
      </c>
      <c r="E93" s="242">
        <v>75000</v>
      </c>
      <c r="F93" s="13"/>
    </row>
    <row r="94" ht="21.6" customHeight="1" spans="1:6">
      <c r="A94" s="10">
        <v>5</v>
      </c>
      <c r="B94" s="11" t="s">
        <v>209</v>
      </c>
      <c r="C94" s="4" t="s">
        <v>852</v>
      </c>
      <c r="D94" s="15" t="s">
        <v>502</v>
      </c>
      <c r="E94" s="242">
        <v>75000</v>
      </c>
      <c r="F94" s="13"/>
    </row>
    <row r="95" ht="21.6" customHeight="1" spans="1:6">
      <c r="A95" s="10">
        <v>6</v>
      </c>
      <c r="B95" s="11" t="s">
        <v>210</v>
      </c>
      <c r="C95" s="12" t="s">
        <v>167</v>
      </c>
      <c r="D95" s="15" t="s">
        <v>215</v>
      </c>
      <c r="E95" s="242">
        <v>75000</v>
      </c>
      <c r="F95" s="13"/>
    </row>
    <row r="96" ht="21.6" customHeight="1" spans="1:6">
      <c r="A96" s="10">
        <v>7</v>
      </c>
      <c r="B96" s="11" t="s">
        <v>211</v>
      </c>
      <c r="C96" s="12" t="s">
        <v>167</v>
      </c>
      <c r="D96" s="15" t="s">
        <v>215</v>
      </c>
      <c r="E96" s="242">
        <v>75000</v>
      </c>
      <c r="F96" s="13"/>
    </row>
    <row r="97" ht="21.6" customHeight="1" spans="1:6">
      <c r="A97" s="10">
        <v>8</v>
      </c>
      <c r="B97" s="11" t="s">
        <v>213</v>
      </c>
      <c r="C97" s="17" t="s">
        <v>71</v>
      </c>
      <c r="D97" s="15" t="s">
        <v>504</v>
      </c>
      <c r="E97" s="242">
        <v>45000</v>
      </c>
      <c r="F97" s="13"/>
    </row>
    <row r="98" ht="21.6" customHeight="1" spans="1:6">
      <c r="A98" s="10">
        <v>9</v>
      </c>
      <c r="B98" s="11" t="s">
        <v>217</v>
      </c>
      <c r="C98" s="4" t="s">
        <v>218</v>
      </c>
      <c r="D98" s="10" t="s">
        <v>80</v>
      </c>
      <c r="E98" s="242">
        <v>45000</v>
      </c>
      <c r="F98" s="13"/>
    </row>
    <row r="99" ht="21.6" customHeight="1" spans="1:6">
      <c r="A99" s="10">
        <v>10</v>
      </c>
      <c r="B99" s="11" t="s">
        <v>221</v>
      </c>
      <c r="C99" s="17" t="s">
        <v>222</v>
      </c>
      <c r="D99" s="15" t="s">
        <v>111</v>
      </c>
      <c r="E99" s="242">
        <v>45000</v>
      </c>
      <c r="F99" s="13"/>
    </row>
    <row r="100" customHeight="1" spans="1:6">
      <c r="A100" s="10"/>
      <c r="B100" s="20" t="s">
        <v>120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224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833</v>
      </c>
      <c r="C103" s="10" t="s">
        <v>834</v>
      </c>
      <c r="D103" s="15" t="s">
        <v>207</v>
      </c>
      <c r="E103" s="242">
        <v>150000</v>
      </c>
      <c r="F103" s="13"/>
    </row>
    <row r="104" customHeight="1" spans="1:6">
      <c r="A104" s="10">
        <v>2</v>
      </c>
      <c r="B104" s="11" t="s">
        <v>36</v>
      </c>
      <c r="C104" s="4" t="s">
        <v>228</v>
      </c>
      <c r="D104" s="10" t="s">
        <v>46</v>
      </c>
      <c r="E104" s="242">
        <v>75000</v>
      </c>
      <c r="F104" s="13"/>
    </row>
    <row r="105" customHeight="1" spans="1:6">
      <c r="A105" s="10">
        <v>3</v>
      </c>
      <c r="B105" s="11" t="s">
        <v>233</v>
      </c>
      <c r="C105" s="4" t="s">
        <v>555</v>
      </c>
      <c r="D105" s="15" t="s">
        <v>131</v>
      </c>
      <c r="E105" s="242">
        <v>45000</v>
      </c>
      <c r="F105" s="13"/>
    </row>
    <row r="106" customHeight="1" spans="1:6">
      <c r="A106" s="10">
        <v>4</v>
      </c>
      <c r="B106" s="11" t="s">
        <v>1616</v>
      </c>
      <c r="C106" s="4" t="s">
        <v>1617</v>
      </c>
      <c r="D106" s="15" t="s">
        <v>105</v>
      </c>
      <c r="E106" s="242">
        <v>45000</v>
      </c>
      <c r="F106" s="13"/>
    </row>
    <row r="107" customHeight="1" spans="1:6">
      <c r="A107" s="4"/>
      <c r="B107" s="20" t="s">
        <v>120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237</v>
      </c>
      <c r="C109" s="4"/>
      <c r="D109" s="4"/>
      <c r="E109" s="247"/>
      <c r="F109" s="13"/>
    </row>
    <row r="110" customHeight="1" spans="1:6">
      <c r="A110" s="4">
        <v>1</v>
      </c>
      <c r="B110" s="11" t="s">
        <v>556</v>
      </c>
      <c r="C110" s="12" t="s">
        <v>239</v>
      </c>
      <c r="D110" s="15" t="s">
        <v>124</v>
      </c>
      <c r="E110" s="242">
        <v>225000</v>
      </c>
      <c r="F110" s="13"/>
    </row>
    <row r="111" customHeight="1" spans="1:6">
      <c r="A111" s="4">
        <v>2</v>
      </c>
      <c r="B111" s="11" t="s">
        <v>240</v>
      </c>
      <c r="C111" s="4" t="s">
        <v>241</v>
      </c>
      <c r="D111" s="16" t="s">
        <v>207</v>
      </c>
      <c r="E111" s="242">
        <v>150000</v>
      </c>
      <c r="F111" s="13"/>
    </row>
    <row r="112" customHeight="1" spans="1:6">
      <c r="A112" s="4">
        <v>3</v>
      </c>
      <c r="B112" s="11" t="s">
        <v>242</v>
      </c>
      <c r="C112" s="4" t="s">
        <v>557</v>
      </c>
      <c r="D112" s="10" t="s">
        <v>55</v>
      </c>
      <c r="E112" s="242">
        <v>75000</v>
      </c>
      <c r="F112" s="13"/>
    </row>
    <row r="113" customHeight="1" spans="1:6">
      <c r="A113" s="4">
        <v>4</v>
      </c>
      <c r="B113" s="11" t="s">
        <v>244</v>
      </c>
      <c r="C113" s="4" t="s">
        <v>557</v>
      </c>
      <c r="D113" s="10" t="s">
        <v>55</v>
      </c>
      <c r="E113" s="242">
        <v>75000</v>
      </c>
      <c r="F113" s="13"/>
    </row>
    <row r="114" customHeight="1" spans="1:6">
      <c r="A114" s="4">
        <v>5</v>
      </c>
      <c r="B114" s="11" t="s">
        <v>247</v>
      </c>
      <c r="C114" s="4" t="s">
        <v>248</v>
      </c>
      <c r="D114" s="15" t="s">
        <v>223</v>
      </c>
      <c r="E114" s="242">
        <v>45000</v>
      </c>
      <c r="F114" s="13"/>
    </row>
    <row r="115" customHeight="1" spans="1:6">
      <c r="A115" s="4">
        <v>6</v>
      </c>
      <c r="B115" s="18" t="s">
        <v>250</v>
      </c>
      <c r="C115" s="4" t="s">
        <v>248</v>
      </c>
      <c r="D115" s="10" t="s">
        <v>105</v>
      </c>
      <c r="E115" s="242">
        <v>45000</v>
      </c>
      <c r="F115" s="13"/>
    </row>
    <row r="116" customHeight="1" spans="1:6">
      <c r="A116" s="4">
        <v>7</v>
      </c>
      <c r="B116" s="18" t="s">
        <v>251</v>
      </c>
      <c r="C116" s="4" t="s">
        <v>248</v>
      </c>
      <c r="D116" s="15" t="s">
        <v>111</v>
      </c>
      <c r="E116" s="242">
        <v>45000</v>
      </c>
      <c r="F116" s="13"/>
    </row>
    <row r="117" customHeight="1" spans="1:6">
      <c r="A117" s="4"/>
      <c r="B117" s="20" t="s">
        <v>120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279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280</v>
      </c>
      <c r="C120" s="12" t="s">
        <v>281</v>
      </c>
      <c r="D120" s="15" t="s">
        <v>124</v>
      </c>
      <c r="E120" s="242">
        <v>225000</v>
      </c>
      <c r="F120" s="13"/>
    </row>
    <row r="121" customHeight="1" spans="1:6">
      <c r="A121" s="4">
        <v>2</v>
      </c>
      <c r="B121" s="11" t="s">
        <v>282</v>
      </c>
      <c r="C121" s="12" t="s">
        <v>559</v>
      </c>
      <c r="D121" s="15" t="s">
        <v>38</v>
      </c>
      <c r="E121" s="242">
        <v>105000</v>
      </c>
      <c r="F121" s="13"/>
    </row>
    <row r="122" customHeight="1" spans="1:6">
      <c r="A122" s="4">
        <v>3</v>
      </c>
      <c r="B122" s="14" t="s">
        <v>284</v>
      </c>
      <c r="C122" s="12" t="s">
        <v>559</v>
      </c>
      <c r="D122" s="15" t="s">
        <v>38</v>
      </c>
      <c r="E122" s="242">
        <v>105000</v>
      </c>
      <c r="F122" s="13"/>
    </row>
    <row r="123" customHeight="1" spans="1:6">
      <c r="A123" s="4">
        <v>4</v>
      </c>
      <c r="B123" s="14" t="s">
        <v>855</v>
      </c>
      <c r="C123" s="12" t="s">
        <v>559</v>
      </c>
      <c r="D123" s="15" t="s">
        <v>41</v>
      </c>
      <c r="E123" s="242">
        <v>105000</v>
      </c>
      <c r="F123" s="13"/>
    </row>
    <row r="124" customHeight="1" spans="1:6">
      <c r="A124" s="4">
        <v>5</v>
      </c>
      <c r="B124" s="11" t="s">
        <v>287</v>
      </c>
      <c r="C124" s="12" t="s">
        <v>289</v>
      </c>
      <c r="D124" s="15" t="s">
        <v>212</v>
      </c>
      <c r="E124" s="242">
        <v>75000</v>
      </c>
      <c r="F124" s="13"/>
    </row>
    <row r="125" customHeight="1" spans="1:6">
      <c r="A125" s="4">
        <v>6</v>
      </c>
      <c r="B125" s="11" t="s">
        <v>288</v>
      </c>
      <c r="C125" s="12" t="s">
        <v>560</v>
      </c>
      <c r="D125" s="15" t="s">
        <v>502</v>
      </c>
      <c r="E125" s="242">
        <v>75000</v>
      </c>
      <c r="F125" s="13"/>
    </row>
    <row r="126" customHeight="1" spans="1:6">
      <c r="A126" s="4">
        <v>7</v>
      </c>
      <c r="B126" s="11" t="s">
        <v>290</v>
      </c>
      <c r="C126" s="12" t="s">
        <v>1476</v>
      </c>
      <c r="D126" s="15" t="s">
        <v>502</v>
      </c>
      <c r="E126" s="242">
        <v>75000</v>
      </c>
      <c r="F126" s="13"/>
    </row>
    <row r="127" customHeight="1" spans="1:6">
      <c r="A127" s="4">
        <v>8</v>
      </c>
      <c r="B127" s="11" t="s">
        <v>293</v>
      </c>
      <c r="C127" s="12" t="s">
        <v>561</v>
      </c>
      <c r="D127" s="10" t="s">
        <v>99</v>
      </c>
      <c r="E127" s="242">
        <v>45000</v>
      </c>
      <c r="F127" s="13"/>
    </row>
    <row r="128" customHeight="1" spans="1:6">
      <c r="A128" s="4">
        <v>9</v>
      </c>
      <c r="B128" s="18" t="s">
        <v>295</v>
      </c>
      <c r="C128" s="12" t="s">
        <v>296</v>
      </c>
      <c r="D128" s="15" t="s">
        <v>111</v>
      </c>
      <c r="E128" s="242">
        <v>45000</v>
      </c>
      <c r="F128" s="13"/>
    </row>
    <row r="129" customHeight="1" spans="1:6">
      <c r="A129" s="4"/>
      <c r="B129" s="20" t="s">
        <v>120</v>
      </c>
      <c r="C129" s="26" t="s">
        <v>1618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300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856</v>
      </c>
      <c r="C132" s="12" t="s">
        <v>857</v>
      </c>
      <c r="D132" s="15" t="s">
        <v>124</v>
      </c>
      <c r="E132" s="242">
        <v>225000</v>
      </c>
      <c r="F132" s="13"/>
    </row>
    <row r="133" customHeight="1" spans="1:6">
      <c r="A133" s="27">
        <v>2</v>
      </c>
      <c r="B133" s="11" t="s">
        <v>858</v>
      </c>
      <c r="C133" s="12" t="s">
        <v>859</v>
      </c>
      <c r="D133" s="15" t="s">
        <v>35</v>
      </c>
      <c r="E133" s="242">
        <v>150000</v>
      </c>
      <c r="F133" s="13"/>
    </row>
    <row r="134" customHeight="1" spans="1:6">
      <c r="A134" s="27">
        <v>3</v>
      </c>
      <c r="B134" s="14" t="s">
        <v>304</v>
      </c>
      <c r="C134" s="4" t="s">
        <v>305</v>
      </c>
      <c r="D134" s="16" t="s">
        <v>207</v>
      </c>
      <c r="E134" s="242">
        <v>150000</v>
      </c>
      <c r="F134" s="13"/>
    </row>
    <row r="135" customHeight="1" spans="1:6">
      <c r="A135" s="27">
        <v>4</v>
      </c>
      <c r="B135" s="11" t="s">
        <v>306</v>
      </c>
      <c r="C135" s="12" t="s">
        <v>860</v>
      </c>
      <c r="D135" s="15" t="s">
        <v>46</v>
      </c>
      <c r="E135" s="242">
        <v>75000</v>
      </c>
      <c r="F135" s="13"/>
    </row>
    <row r="136" customHeight="1" spans="1:6">
      <c r="A136" s="27">
        <v>5</v>
      </c>
      <c r="B136" s="11" t="s">
        <v>308</v>
      </c>
      <c r="C136" s="4" t="s">
        <v>312</v>
      </c>
      <c r="D136" s="15" t="s">
        <v>46</v>
      </c>
      <c r="E136" s="242">
        <v>75000</v>
      </c>
      <c r="F136" s="13"/>
    </row>
    <row r="137" customHeight="1" spans="1:6">
      <c r="A137" s="27">
        <v>6</v>
      </c>
      <c r="B137" s="11" t="s">
        <v>227</v>
      </c>
      <c r="C137" s="4" t="s">
        <v>862</v>
      </c>
      <c r="D137" s="15" t="s">
        <v>502</v>
      </c>
      <c r="E137" s="242">
        <v>75000</v>
      </c>
      <c r="F137" s="13"/>
    </row>
    <row r="138" customHeight="1" spans="1:6">
      <c r="A138" s="27">
        <v>7</v>
      </c>
      <c r="B138" s="11" t="s">
        <v>229</v>
      </c>
      <c r="C138" s="12" t="s">
        <v>861</v>
      </c>
      <c r="D138" s="15" t="s">
        <v>69</v>
      </c>
      <c r="E138" s="242">
        <v>45000</v>
      </c>
      <c r="F138" s="13"/>
    </row>
    <row r="139" customHeight="1" spans="1:6">
      <c r="A139" s="27">
        <v>8</v>
      </c>
      <c r="B139" s="11" t="s">
        <v>313</v>
      </c>
      <c r="C139" s="12" t="s">
        <v>861</v>
      </c>
      <c r="D139" s="15" t="s">
        <v>69</v>
      </c>
      <c r="E139" s="242">
        <v>45000</v>
      </c>
      <c r="F139" s="13"/>
    </row>
    <row r="140" customHeight="1" spans="1:6">
      <c r="A140" s="27">
        <v>9</v>
      </c>
      <c r="B140" s="11" t="s">
        <v>314</v>
      </c>
      <c r="C140" s="4" t="s">
        <v>862</v>
      </c>
      <c r="D140" s="15" t="s">
        <v>69</v>
      </c>
      <c r="E140" s="242">
        <v>45000</v>
      </c>
      <c r="F140" s="13"/>
    </row>
    <row r="141" customHeight="1" spans="1:6">
      <c r="A141" s="27">
        <v>10</v>
      </c>
      <c r="B141" s="11" t="s">
        <v>316</v>
      </c>
      <c r="C141" s="12" t="s">
        <v>863</v>
      </c>
      <c r="D141" s="15" t="s">
        <v>131</v>
      </c>
      <c r="E141" s="242">
        <v>45000</v>
      </c>
      <c r="F141" s="13"/>
    </row>
    <row r="142" customHeight="1" spans="1:6">
      <c r="A142" s="27">
        <v>11</v>
      </c>
      <c r="B142" s="11" t="s">
        <v>318</v>
      </c>
      <c r="C142" s="12" t="s">
        <v>1478</v>
      </c>
      <c r="D142" s="15" t="s">
        <v>151</v>
      </c>
      <c r="E142" s="242">
        <v>45000</v>
      </c>
      <c r="F142" s="13"/>
    </row>
    <row r="143" customHeight="1" spans="1:6">
      <c r="A143" s="27">
        <v>12</v>
      </c>
      <c r="B143" s="11" t="s">
        <v>61</v>
      </c>
      <c r="C143" s="12" t="s">
        <v>863</v>
      </c>
      <c r="D143" s="15" t="s">
        <v>69</v>
      </c>
      <c r="E143" s="242">
        <v>45000</v>
      </c>
      <c r="F143" s="13"/>
    </row>
    <row r="144" customHeight="1" spans="1:6">
      <c r="A144" s="27">
        <v>13</v>
      </c>
      <c r="B144" s="18" t="s">
        <v>320</v>
      </c>
      <c r="C144" s="4" t="s">
        <v>329</v>
      </c>
      <c r="D144" s="15" t="s">
        <v>151</v>
      </c>
      <c r="E144" s="242">
        <v>45000</v>
      </c>
      <c r="F144" s="13"/>
    </row>
    <row r="145" customHeight="1" spans="1:6">
      <c r="A145" s="27">
        <v>14</v>
      </c>
      <c r="B145" s="11" t="s">
        <v>322</v>
      </c>
      <c r="C145" s="4" t="s">
        <v>864</v>
      </c>
      <c r="D145" s="15" t="s">
        <v>74</v>
      </c>
      <c r="E145" s="242">
        <v>45000</v>
      </c>
      <c r="F145" s="13"/>
    </row>
    <row r="146" customHeight="1" spans="1:6">
      <c r="A146" s="27">
        <v>15</v>
      </c>
      <c r="B146" s="11" t="s">
        <v>323</v>
      </c>
      <c r="C146" s="4" t="s">
        <v>864</v>
      </c>
      <c r="D146" s="15" t="s">
        <v>77</v>
      </c>
      <c r="E146" s="242">
        <v>45000</v>
      </c>
      <c r="F146" s="13"/>
    </row>
    <row r="147" customHeight="1" spans="1:6">
      <c r="A147" s="27">
        <v>16</v>
      </c>
      <c r="B147" s="11" t="s">
        <v>325</v>
      </c>
      <c r="C147" s="4" t="s">
        <v>864</v>
      </c>
      <c r="D147" s="15" t="s">
        <v>77</v>
      </c>
      <c r="E147" s="242">
        <v>45000</v>
      </c>
      <c r="F147" s="13"/>
    </row>
    <row r="148" customHeight="1" spans="1:6">
      <c r="A148" s="27">
        <v>17</v>
      </c>
      <c r="B148" s="11" t="s">
        <v>326</v>
      </c>
      <c r="C148" s="12" t="s">
        <v>327</v>
      </c>
      <c r="D148" s="15" t="s">
        <v>80</v>
      </c>
      <c r="E148" s="242">
        <v>45000</v>
      </c>
      <c r="F148" s="13"/>
    </row>
    <row r="149" customHeight="1" spans="1:6">
      <c r="A149" s="27">
        <v>18</v>
      </c>
      <c r="B149" s="11" t="s">
        <v>1462</v>
      </c>
      <c r="C149" s="12" t="s">
        <v>329</v>
      </c>
      <c r="D149" s="10" t="s">
        <v>344</v>
      </c>
      <c r="E149" s="242">
        <v>45000</v>
      </c>
      <c r="F149" s="13"/>
    </row>
    <row r="150" customHeight="1" spans="1:6">
      <c r="A150" s="27">
        <v>19</v>
      </c>
      <c r="B150" s="11" t="s">
        <v>330</v>
      </c>
      <c r="C150" s="12" t="s">
        <v>565</v>
      </c>
      <c r="D150" s="15" t="s">
        <v>74</v>
      </c>
      <c r="E150" s="242">
        <v>45000</v>
      </c>
      <c r="F150" s="13"/>
    </row>
    <row r="151" customHeight="1" spans="1:6">
      <c r="A151" s="27">
        <v>20</v>
      </c>
      <c r="B151" s="11" t="s">
        <v>332</v>
      </c>
      <c r="C151" s="12" t="s">
        <v>566</v>
      </c>
      <c r="D151" s="15" t="s">
        <v>99</v>
      </c>
      <c r="E151" s="242">
        <v>45000</v>
      </c>
      <c r="F151" s="13"/>
    </row>
    <row r="152" customHeight="1" spans="1:6">
      <c r="A152" s="27">
        <v>21</v>
      </c>
      <c r="B152" s="11" t="s">
        <v>334</v>
      </c>
      <c r="C152" s="12" t="s">
        <v>567</v>
      </c>
      <c r="D152" s="15" t="s">
        <v>74</v>
      </c>
      <c r="E152" s="242">
        <v>45000</v>
      </c>
      <c r="F152" s="13"/>
    </row>
    <row r="153" customHeight="1" spans="1:6">
      <c r="A153" s="27">
        <v>22</v>
      </c>
      <c r="B153" s="11" t="s">
        <v>335</v>
      </c>
      <c r="C153" s="12" t="s">
        <v>568</v>
      </c>
      <c r="D153" s="15" t="s">
        <v>99</v>
      </c>
      <c r="E153" s="242">
        <v>45000</v>
      </c>
      <c r="F153" s="13"/>
    </row>
    <row r="154" customHeight="1" spans="1:6">
      <c r="A154" s="27">
        <v>23</v>
      </c>
      <c r="B154" s="18" t="s">
        <v>337</v>
      </c>
      <c r="C154" s="12" t="s">
        <v>348</v>
      </c>
      <c r="D154" s="15" t="s">
        <v>105</v>
      </c>
      <c r="E154" s="242">
        <v>45000</v>
      </c>
      <c r="F154" s="13"/>
    </row>
    <row r="155" customHeight="1" spans="1:6">
      <c r="A155" s="27">
        <v>24</v>
      </c>
      <c r="B155" s="18" t="s">
        <v>345</v>
      </c>
      <c r="C155" s="12" t="s">
        <v>346</v>
      </c>
      <c r="D155" s="15" t="s">
        <v>276</v>
      </c>
      <c r="E155" s="242">
        <v>45000</v>
      </c>
      <c r="F155" s="13"/>
    </row>
    <row r="156" customHeight="1" spans="1:6">
      <c r="A156" s="27">
        <v>25</v>
      </c>
      <c r="B156" s="18" t="s">
        <v>347</v>
      </c>
      <c r="C156" s="12" t="s">
        <v>348</v>
      </c>
      <c r="D156" s="15" t="s">
        <v>276</v>
      </c>
      <c r="E156" s="242">
        <v>45000</v>
      </c>
      <c r="F156" s="13"/>
    </row>
    <row r="157" customHeight="1" spans="1:6">
      <c r="A157" s="27">
        <v>26</v>
      </c>
      <c r="B157" s="18" t="s">
        <v>349</v>
      </c>
      <c r="C157" s="12" t="s">
        <v>350</v>
      </c>
      <c r="D157" s="15" t="s">
        <v>111</v>
      </c>
      <c r="E157" s="242">
        <v>45000</v>
      </c>
      <c r="F157" s="13"/>
    </row>
    <row r="158" customHeight="1" spans="1:6">
      <c r="A158" s="27">
        <v>27</v>
      </c>
      <c r="B158" s="18" t="s">
        <v>351</v>
      </c>
      <c r="C158" s="12" t="s">
        <v>569</v>
      </c>
      <c r="D158" s="15" t="s">
        <v>111</v>
      </c>
      <c r="E158" s="242">
        <v>45000</v>
      </c>
      <c r="F158" s="13"/>
    </row>
    <row r="159" customHeight="1" spans="1:6">
      <c r="A159" s="27">
        <v>28</v>
      </c>
      <c r="B159" s="11" t="s">
        <v>361</v>
      </c>
      <c r="C159" s="12" t="s">
        <v>362</v>
      </c>
      <c r="D159" s="15" t="s">
        <v>381</v>
      </c>
      <c r="E159" s="242">
        <v>30000</v>
      </c>
      <c r="F159" s="13"/>
    </row>
    <row r="160" customHeight="1" spans="1:6">
      <c r="A160" s="27">
        <v>29</v>
      </c>
      <c r="B160" s="11" t="s">
        <v>364</v>
      </c>
      <c r="C160" s="12" t="s">
        <v>362</v>
      </c>
      <c r="D160" s="15" t="s">
        <v>381</v>
      </c>
      <c r="E160" s="242">
        <v>30000</v>
      </c>
      <c r="F160" s="13"/>
    </row>
    <row r="161" customHeight="1" spans="1:6">
      <c r="A161" s="27">
        <v>30</v>
      </c>
      <c r="B161" s="11" t="s">
        <v>570</v>
      </c>
      <c r="C161" s="12" t="s">
        <v>362</v>
      </c>
      <c r="D161" s="15" t="s">
        <v>381</v>
      </c>
      <c r="E161" s="242">
        <v>30000</v>
      </c>
      <c r="F161" s="13"/>
    </row>
    <row r="162" customHeight="1" spans="1:6">
      <c r="A162" s="27">
        <v>32</v>
      </c>
      <c r="B162" s="11" t="s">
        <v>365</v>
      </c>
      <c r="C162" s="12" t="s">
        <v>362</v>
      </c>
      <c r="D162" s="15" t="s">
        <v>381</v>
      </c>
      <c r="E162" s="242">
        <v>30000</v>
      </c>
      <c r="F162" s="13"/>
    </row>
    <row r="163" customHeight="1" spans="1:6">
      <c r="A163" s="27">
        <v>33</v>
      </c>
      <c r="B163" s="11" t="s">
        <v>366</v>
      </c>
      <c r="C163" s="12" t="s">
        <v>362</v>
      </c>
      <c r="D163" s="15" t="s">
        <v>381</v>
      </c>
      <c r="E163" s="242">
        <v>30000</v>
      </c>
      <c r="F163" s="13"/>
    </row>
    <row r="164" customHeight="1" spans="1:6">
      <c r="A164" s="27">
        <v>34</v>
      </c>
      <c r="B164" s="11" t="s">
        <v>367</v>
      </c>
      <c r="C164" s="12" t="s">
        <v>362</v>
      </c>
      <c r="D164" s="15" t="s">
        <v>510</v>
      </c>
      <c r="E164" s="242">
        <v>30000</v>
      </c>
      <c r="F164" s="13"/>
    </row>
    <row r="165" customHeight="1" spans="1:6">
      <c r="A165" s="27">
        <v>35</v>
      </c>
      <c r="B165" s="11" t="s">
        <v>369</v>
      </c>
      <c r="C165" s="12" t="s">
        <v>362</v>
      </c>
      <c r="D165" s="15" t="s">
        <v>510</v>
      </c>
      <c r="E165" s="242">
        <v>30000</v>
      </c>
      <c r="F165" s="13"/>
    </row>
    <row r="166" customHeight="1" spans="1:6">
      <c r="A166" s="27">
        <v>36</v>
      </c>
      <c r="B166" s="11" t="s">
        <v>1619</v>
      </c>
      <c r="C166" s="12" t="s">
        <v>362</v>
      </c>
      <c r="D166" s="15" t="s">
        <v>510</v>
      </c>
      <c r="E166" s="242">
        <v>30000</v>
      </c>
      <c r="F166" s="13"/>
    </row>
    <row r="167" customHeight="1" spans="1:6">
      <c r="A167" s="27">
        <v>37</v>
      </c>
      <c r="B167" s="14" t="s">
        <v>370</v>
      </c>
      <c r="C167" s="12" t="s">
        <v>362</v>
      </c>
      <c r="D167" s="15" t="s">
        <v>510</v>
      </c>
      <c r="E167" s="242">
        <v>30000</v>
      </c>
      <c r="F167" s="13"/>
    </row>
    <row r="168" customHeight="1" spans="1:6">
      <c r="A168" s="27">
        <v>38</v>
      </c>
      <c r="B168" s="11" t="s">
        <v>371</v>
      </c>
      <c r="C168" s="12" t="s">
        <v>362</v>
      </c>
      <c r="D168" s="15" t="s">
        <v>510</v>
      </c>
      <c r="E168" s="242">
        <v>30000</v>
      </c>
      <c r="F168" s="13"/>
    </row>
    <row r="169" customHeight="1" spans="1:6">
      <c r="A169" s="27">
        <v>39</v>
      </c>
      <c r="B169" s="18" t="s">
        <v>372</v>
      </c>
      <c r="C169" s="12" t="s">
        <v>362</v>
      </c>
      <c r="D169" s="15" t="s">
        <v>510</v>
      </c>
      <c r="E169" s="242">
        <v>30000</v>
      </c>
      <c r="F169" s="13"/>
    </row>
    <row r="170" customHeight="1" spans="1:6">
      <c r="A170" s="27">
        <v>40</v>
      </c>
      <c r="B170" s="18" t="s">
        <v>359</v>
      </c>
      <c r="C170" s="12" t="s">
        <v>362</v>
      </c>
      <c r="D170" s="15" t="s">
        <v>510</v>
      </c>
      <c r="E170" s="242">
        <v>30000</v>
      </c>
      <c r="F170" s="13"/>
    </row>
    <row r="171" customHeight="1" spans="1:6">
      <c r="A171" s="27">
        <v>41</v>
      </c>
      <c r="B171" s="11" t="s">
        <v>373</v>
      </c>
      <c r="C171" s="12" t="s">
        <v>393</v>
      </c>
      <c r="D171" s="15" t="s">
        <v>512</v>
      </c>
      <c r="E171" s="242">
        <v>30000</v>
      </c>
      <c r="F171" s="13"/>
    </row>
    <row r="172" customHeight="1" spans="1:6">
      <c r="A172" s="27">
        <v>42</v>
      </c>
      <c r="B172" s="11" t="s">
        <v>376</v>
      </c>
      <c r="C172" s="12" t="s">
        <v>393</v>
      </c>
      <c r="D172" s="15" t="s">
        <v>512</v>
      </c>
      <c r="E172" s="242">
        <v>30000</v>
      </c>
      <c r="F172" s="13"/>
    </row>
    <row r="173" customHeight="1" spans="1:6">
      <c r="A173" s="27">
        <v>43</v>
      </c>
      <c r="B173" s="18" t="s">
        <v>377</v>
      </c>
      <c r="C173" s="12" t="s">
        <v>393</v>
      </c>
      <c r="D173" s="15" t="s">
        <v>391</v>
      </c>
      <c r="E173" s="242">
        <v>30000</v>
      </c>
      <c r="F173" s="13"/>
    </row>
    <row r="174" customHeight="1" spans="1:6">
      <c r="A174" s="27">
        <v>44</v>
      </c>
      <c r="B174" s="11" t="s">
        <v>379</v>
      </c>
      <c r="C174" s="12" t="s">
        <v>393</v>
      </c>
      <c r="D174" s="15" t="s">
        <v>408</v>
      </c>
      <c r="E174" s="242">
        <v>30000</v>
      </c>
      <c r="F174" s="13"/>
    </row>
    <row r="175" customHeight="1" spans="1:6">
      <c r="A175" s="27">
        <v>45</v>
      </c>
      <c r="B175" s="11" t="s">
        <v>382</v>
      </c>
      <c r="C175" s="12" t="s">
        <v>390</v>
      </c>
      <c r="D175" s="15" t="s">
        <v>1463</v>
      </c>
      <c r="E175" s="242">
        <v>30000</v>
      </c>
      <c r="F175" s="13"/>
    </row>
    <row r="176" customHeight="1" spans="1:6">
      <c r="A176" s="27">
        <v>46</v>
      </c>
      <c r="B176" s="11" t="s">
        <v>383</v>
      </c>
      <c r="C176" s="12" t="s">
        <v>390</v>
      </c>
      <c r="D176" s="15" t="s">
        <v>1463</v>
      </c>
      <c r="E176" s="242">
        <v>30000</v>
      </c>
      <c r="F176" s="13"/>
    </row>
    <row r="177" customHeight="1" spans="1:6">
      <c r="A177" s="27">
        <v>47</v>
      </c>
      <c r="B177" s="11" t="s">
        <v>384</v>
      </c>
      <c r="C177" s="12" t="s">
        <v>390</v>
      </c>
      <c r="D177" s="15" t="s">
        <v>1463</v>
      </c>
      <c r="E177" s="242">
        <v>30000</v>
      </c>
      <c r="F177" s="13"/>
    </row>
    <row r="178" customHeight="1" spans="1:6">
      <c r="A178" s="27">
        <v>48</v>
      </c>
      <c r="B178" s="11" t="s">
        <v>385</v>
      </c>
      <c r="C178" s="12" t="s">
        <v>390</v>
      </c>
      <c r="D178" s="15" t="s">
        <v>1463</v>
      </c>
      <c r="E178" s="242">
        <v>30000</v>
      </c>
      <c r="F178" s="13"/>
    </row>
    <row r="179" customHeight="1" spans="1:6">
      <c r="A179" s="27">
        <v>49</v>
      </c>
      <c r="B179" s="11" t="s">
        <v>386</v>
      </c>
      <c r="C179" s="12" t="s">
        <v>390</v>
      </c>
      <c r="D179" s="15" t="s">
        <v>1463</v>
      </c>
      <c r="E179" s="242">
        <v>30000</v>
      </c>
      <c r="F179" s="13"/>
    </row>
    <row r="180" customHeight="1" spans="1:6">
      <c r="A180" s="27">
        <v>50</v>
      </c>
      <c r="B180" s="18" t="s">
        <v>387</v>
      </c>
      <c r="C180" s="12" t="s">
        <v>390</v>
      </c>
      <c r="D180" s="15" t="s">
        <v>1463</v>
      </c>
      <c r="E180" s="242">
        <v>30000</v>
      </c>
      <c r="F180" s="13"/>
    </row>
    <row r="181" customHeight="1" spans="1:6">
      <c r="A181" s="27">
        <v>51</v>
      </c>
      <c r="B181" s="18" t="s">
        <v>389</v>
      </c>
      <c r="C181" s="12" t="s">
        <v>390</v>
      </c>
      <c r="D181" s="15" t="s">
        <v>1463</v>
      </c>
      <c r="E181" s="242">
        <v>30000</v>
      </c>
      <c r="F181" s="13"/>
    </row>
    <row r="182" customHeight="1" spans="1:6">
      <c r="A182" s="27">
        <v>52</v>
      </c>
      <c r="B182" s="11" t="s">
        <v>572</v>
      </c>
      <c r="C182" s="12" t="s">
        <v>393</v>
      </c>
      <c r="D182" s="15" t="s">
        <v>1463</v>
      </c>
      <c r="E182" s="242">
        <v>30000</v>
      </c>
      <c r="F182" s="13"/>
    </row>
    <row r="183" customHeight="1" spans="1:6">
      <c r="A183" s="27">
        <v>53</v>
      </c>
      <c r="B183" s="11" t="s">
        <v>392</v>
      </c>
      <c r="C183" s="12" t="s">
        <v>393</v>
      </c>
      <c r="D183" s="15" t="s">
        <v>1463</v>
      </c>
      <c r="E183" s="242">
        <v>30000</v>
      </c>
      <c r="F183" s="13"/>
    </row>
    <row r="184" customHeight="1" spans="1:6">
      <c r="A184" s="27">
        <v>54</v>
      </c>
      <c r="B184" s="18" t="s">
        <v>360</v>
      </c>
      <c r="C184" s="12" t="s">
        <v>390</v>
      </c>
      <c r="D184" s="15" t="s">
        <v>1479</v>
      </c>
      <c r="E184" s="242">
        <v>30000</v>
      </c>
      <c r="F184" s="13"/>
    </row>
    <row r="185" customHeight="1" spans="1:6">
      <c r="A185" s="27">
        <v>55</v>
      </c>
      <c r="B185" s="18" t="s">
        <v>397</v>
      </c>
      <c r="C185" s="12" t="s">
        <v>390</v>
      </c>
      <c r="D185" s="15" t="s">
        <v>513</v>
      </c>
      <c r="E185" s="242">
        <v>30000</v>
      </c>
      <c r="F185" s="13"/>
    </row>
    <row r="186" customHeight="1" spans="1:6">
      <c r="A186" s="27"/>
      <c r="B186" s="8" t="s">
        <v>120</v>
      </c>
      <c r="C186" s="28" t="s">
        <v>1620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411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1603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597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450000</v>
      </c>
      <c r="F7" s="13"/>
    </row>
    <row r="8" customHeight="1" spans="1:6">
      <c r="A8" s="10">
        <v>2</v>
      </c>
      <c r="B8" s="11" t="s">
        <v>1521</v>
      </c>
      <c r="C8" s="4" t="s">
        <v>1604</v>
      </c>
      <c r="D8" s="10" t="s">
        <v>35</v>
      </c>
      <c r="E8" s="242">
        <v>150000</v>
      </c>
      <c r="F8" s="13"/>
    </row>
    <row r="9" customHeight="1" spans="1:6">
      <c r="A9" s="10">
        <v>3</v>
      </c>
      <c r="B9" s="14" t="s">
        <v>1605</v>
      </c>
      <c r="C9" s="4" t="s">
        <v>1606</v>
      </c>
      <c r="D9" s="10" t="s">
        <v>35</v>
      </c>
      <c r="E9" s="242">
        <v>150000</v>
      </c>
      <c r="F9" s="13"/>
    </row>
    <row r="10" customHeight="1" spans="1:6">
      <c r="A10" s="10">
        <v>4</v>
      </c>
      <c r="B10" s="11" t="s">
        <v>26</v>
      </c>
      <c r="C10" s="12" t="s">
        <v>27</v>
      </c>
      <c r="D10" s="10" t="s">
        <v>28</v>
      </c>
      <c r="E10" s="242">
        <v>150000</v>
      </c>
      <c r="F10" s="13"/>
    </row>
    <row r="11" customHeight="1" spans="1:6">
      <c r="A11" s="10">
        <v>5</v>
      </c>
      <c r="B11" s="14" t="s">
        <v>29</v>
      </c>
      <c r="C11" s="4" t="s">
        <v>30</v>
      </c>
      <c r="D11" s="15" t="s">
        <v>207</v>
      </c>
      <c r="E11" s="242">
        <v>150000</v>
      </c>
      <c r="F11" s="13"/>
    </row>
    <row r="12" customHeight="1" spans="1:6">
      <c r="A12" s="10">
        <v>6</v>
      </c>
      <c r="B12" s="14" t="s">
        <v>225</v>
      </c>
      <c r="C12" s="4" t="s">
        <v>1523</v>
      </c>
      <c r="D12" s="16" t="s">
        <v>207</v>
      </c>
      <c r="E12" s="242">
        <v>150000</v>
      </c>
      <c r="F12" s="13"/>
    </row>
    <row r="13" customHeight="1" spans="1:6">
      <c r="A13" s="10">
        <v>7</v>
      </c>
      <c r="B13" s="11" t="s">
        <v>31</v>
      </c>
      <c r="C13" s="17" t="s">
        <v>32</v>
      </c>
      <c r="D13" s="16" t="s">
        <v>207</v>
      </c>
      <c r="E13" s="242">
        <v>150000</v>
      </c>
      <c r="F13" s="13"/>
    </row>
    <row r="14" customHeight="1" spans="1:6">
      <c r="A14" s="10">
        <v>8</v>
      </c>
      <c r="B14" s="14" t="s">
        <v>301</v>
      </c>
      <c r="C14" s="4" t="s">
        <v>832</v>
      </c>
      <c r="D14" s="16" t="s">
        <v>207</v>
      </c>
      <c r="E14" s="242">
        <v>150000</v>
      </c>
      <c r="F14" s="13"/>
    </row>
    <row r="15" customHeight="1" spans="1:6">
      <c r="A15" s="10">
        <v>9</v>
      </c>
      <c r="B15" s="11" t="s">
        <v>33</v>
      </c>
      <c r="C15" s="12" t="s">
        <v>835</v>
      </c>
      <c r="D15" s="15" t="s">
        <v>38</v>
      </c>
      <c r="E15" s="242">
        <v>105000</v>
      </c>
      <c r="F15" s="13"/>
    </row>
    <row r="16" customHeight="1" spans="1:6">
      <c r="A16" s="10">
        <v>10</v>
      </c>
      <c r="B16" s="18" t="s">
        <v>183</v>
      </c>
      <c r="C16" s="12" t="s">
        <v>851</v>
      </c>
      <c r="D16" s="10" t="s">
        <v>850</v>
      </c>
      <c r="E16" s="242">
        <v>105000</v>
      </c>
      <c r="F16" s="13"/>
    </row>
    <row r="17" customHeight="1" spans="1:6">
      <c r="A17" s="10">
        <v>11</v>
      </c>
      <c r="B17" s="19" t="s">
        <v>1607</v>
      </c>
      <c r="C17" s="4" t="s">
        <v>1608</v>
      </c>
      <c r="D17" s="16" t="s">
        <v>46</v>
      </c>
      <c r="E17" s="242">
        <v>75000</v>
      </c>
      <c r="F17" s="13"/>
    </row>
    <row r="18" ht="19.5" customHeight="1" spans="1:6">
      <c r="A18" s="10">
        <v>12</v>
      </c>
      <c r="B18" s="14" t="s">
        <v>1524</v>
      </c>
      <c r="C18" s="4" t="s">
        <v>547</v>
      </c>
      <c r="D18" s="10" t="s">
        <v>46</v>
      </c>
      <c r="E18" s="242">
        <v>75000</v>
      </c>
      <c r="F18" s="13"/>
    </row>
    <row r="19" ht="19.5" customHeight="1" spans="1:6">
      <c r="A19" s="10">
        <v>13</v>
      </c>
      <c r="B19" s="14" t="s">
        <v>1609</v>
      </c>
      <c r="C19" s="4" t="s">
        <v>1610</v>
      </c>
      <c r="D19" s="10" t="s">
        <v>46</v>
      </c>
      <c r="E19" s="242">
        <v>75000</v>
      </c>
      <c r="F19" s="13"/>
    </row>
    <row r="20" customHeight="1" spans="1:6">
      <c r="A20" s="10">
        <v>14</v>
      </c>
      <c r="B20" s="11" t="s">
        <v>39</v>
      </c>
      <c r="C20" s="4" t="s">
        <v>547</v>
      </c>
      <c r="D20" s="15" t="s">
        <v>46</v>
      </c>
      <c r="E20" s="242">
        <v>75000</v>
      </c>
      <c r="F20" s="13"/>
    </row>
    <row r="21" customHeight="1" spans="1:6">
      <c r="A21" s="10">
        <v>15</v>
      </c>
      <c r="B21" s="11" t="s">
        <v>50</v>
      </c>
      <c r="C21" s="12" t="s">
        <v>60</v>
      </c>
      <c r="D21" s="15" t="s">
        <v>215</v>
      </c>
      <c r="E21" s="242">
        <v>75000</v>
      </c>
      <c r="F21" s="13"/>
    </row>
    <row r="22" customHeight="1" spans="1:6">
      <c r="A22" s="10">
        <v>16</v>
      </c>
      <c r="B22" s="18" t="s">
        <v>53</v>
      </c>
      <c r="C22" s="4" t="s">
        <v>54</v>
      </c>
      <c r="D22" s="15" t="s">
        <v>503</v>
      </c>
      <c r="E22" s="242">
        <v>75000</v>
      </c>
      <c r="F22" s="13"/>
    </row>
    <row r="23" customHeight="1" spans="1:6">
      <c r="A23" s="10">
        <v>17</v>
      </c>
      <c r="B23" s="11" t="s">
        <v>190</v>
      </c>
      <c r="C23" s="12" t="s">
        <v>854</v>
      </c>
      <c r="D23" s="15" t="s">
        <v>69</v>
      </c>
      <c r="E23" s="242">
        <v>45000</v>
      </c>
      <c r="F23" s="13"/>
    </row>
    <row r="24" ht="18.75" customHeight="1" spans="1:6">
      <c r="A24" s="10">
        <v>18</v>
      </c>
      <c r="B24" s="11" t="s">
        <v>64</v>
      </c>
      <c r="C24" s="12" t="s">
        <v>176</v>
      </c>
      <c r="D24" s="15" t="s">
        <v>131</v>
      </c>
      <c r="E24" s="242">
        <v>45000</v>
      </c>
      <c r="F24" s="13"/>
    </row>
    <row r="25" ht="18.75" customHeight="1" spans="1:6">
      <c r="A25" s="10">
        <v>19</v>
      </c>
      <c r="B25" s="18" t="s">
        <v>1611</v>
      </c>
      <c r="C25" s="12" t="s">
        <v>104</v>
      </c>
      <c r="D25" s="15" t="s">
        <v>77</v>
      </c>
      <c r="E25" s="242">
        <v>45000</v>
      </c>
      <c r="F25" s="13"/>
    </row>
    <row r="26" ht="18.75" customHeight="1" spans="1:6">
      <c r="A26" s="10">
        <v>20</v>
      </c>
      <c r="B26" s="4" t="s">
        <v>485</v>
      </c>
      <c r="C26" s="4" t="s">
        <v>94</v>
      </c>
      <c r="D26" s="10" t="s">
        <v>99</v>
      </c>
      <c r="E26" s="242">
        <v>45000</v>
      </c>
      <c r="F26" s="13"/>
    </row>
    <row r="27" ht="18.75" customHeight="1" spans="1:6">
      <c r="A27" s="10">
        <v>21</v>
      </c>
      <c r="B27" s="18" t="s">
        <v>78</v>
      </c>
      <c r="C27" s="12" t="s">
        <v>94</v>
      </c>
      <c r="D27" s="15" t="s">
        <v>99</v>
      </c>
      <c r="E27" s="242">
        <v>45000</v>
      </c>
      <c r="F27" s="13"/>
    </row>
    <row r="28" ht="18.75" customHeight="1" spans="1:6">
      <c r="A28" s="10">
        <v>22</v>
      </c>
      <c r="B28" s="11" t="s">
        <v>1525</v>
      </c>
      <c r="C28" s="12" t="s">
        <v>1526</v>
      </c>
      <c r="D28" s="15" t="s">
        <v>99</v>
      </c>
      <c r="E28" s="242">
        <v>45000</v>
      </c>
      <c r="F28" s="13"/>
    </row>
    <row r="29" ht="18.75" customHeight="1" spans="1:6">
      <c r="A29" s="10">
        <v>23</v>
      </c>
      <c r="B29" s="18" t="s">
        <v>83</v>
      </c>
      <c r="C29" s="12" t="s">
        <v>1473</v>
      </c>
      <c r="D29" s="15" t="s">
        <v>105</v>
      </c>
      <c r="E29" s="242">
        <v>45000</v>
      </c>
      <c r="F29" s="13"/>
    </row>
    <row r="30" ht="18.75" customHeight="1" spans="1:6">
      <c r="A30" s="10">
        <v>24</v>
      </c>
      <c r="B30" s="18" t="s">
        <v>86</v>
      </c>
      <c r="C30" s="4" t="s">
        <v>1527</v>
      </c>
      <c r="D30" s="10" t="s">
        <v>105</v>
      </c>
      <c r="E30" s="242">
        <v>45000</v>
      </c>
      <c r="F30" s="13"/>
    </row>
    <row r="31" ht="18.75" customHeight="1" spans="1:6">
      <c r="A31" s="10">
        <v>25</v>
      </c>
      <c r="B31" s="18" t="s">
        <v>91</v>
      </c>
      <c r="C31" s="17" t="s">
        <v>550</v>
      </c>
      <c r="D31" s="15" t="s">
        <v>99</v>
      </c>
      <c r="E31" s="242">
        <v>45000</v>
      </c>
      <c r="F31" s="13"/>
    </row>
    <row r="32" ht="18.75" customHeight="1" spans="1:6">
      <c r="A32" s="10">
        <v>26</v>
      </c>
      <c r="B32" s="18" t="s">
        <v>95</v>
      </c>
      <c r="C32" s="4" t="s">
        <v>551</v>
      </c>
      <c r="D32" s="10" t="s">
        <v>111</v>
      </c>
      <c r="E32" s="242">
        <v>45000</v>
      </c>
      <c r="F32" s="13"/>
    </row>
    <row r="33" ht="18.75" customHeight="1" spans="1:6">
      <c r="A33" s="10">
        <v>27</v>
      </c>
      <c r="B33" s="18" t="s">
        <v>1454</v>
      </c>
      <c r="C33" s="12" t="s">
        <v>104</v>
      </c>
      <c r="D33" s="15" t="s">
        <v>111</v>
      </c>
      <c r="E33" s="242">
        <v>45000</v>
      </c>
      <c r="F33" s="13"/>
    </row>
    <row r="34" ht="18.75" customHeight="1" spans="1:6">
      <c r="A34" s="10">
        <v>28</v>
      </c>
      <c r="B34" s="18" t="s">
        <v>1612</v>
      </c>
      <c r="C34" s="12" t="s">
        <v>104</v>
      </c>
      <c r="D34" s="15" t="s">
        <v>111</v>
      </c>
      <c r="E34" s="242">
        <v>45000</v>
      </c>
      <c r="F34" s="13"/>
    </row>
    <row r="35" ht="18.75" customHeight="1" spans="1:6">
      <c r="A35" s="10">
        <v>29</v>
      </c>
      <c r="B35" s="18" t="s">
        <v>297</v>
      </c>
      <c r="C35" s="12" t="s">
        <v>292</v>
      </c>
      <c r="D35" s="15" t="s">
        <v>276</v>
      </c>
      <c r="E35" s="242">
        <v>45000</v>
      </c>
      <c r="F35" s="13"/>
    </row>
    <row r="36" ht="26.25" customHeight="1" spans="1:6">
      <c r="A36" s="10"/>
      <c r="B36" s="20" t="s">
        <v>120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121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122</v>
      </c>
      <c r="C39" s="4" t="s">
        <v>123</v>
      </c>
      <c r="D39" s="10" t="s">
        <v>124</v>
      </c>
      <c r="E39" s="242">
        <v>225000</v>
      </c>
      <c r="F39" s="13"/>
    </row>
    <row r="40" ht="18.75" customHeight="1" spans="1:6">
      <c r="A40" s="10">
        <v>2</v>
      </c>
      <c r="B40" s="18" t="s">
        <v>127</v>
      </c>
      <c r="C40" s="4" t="s">
        <v>1064</v>
      </c>
      <c r="D40" s="10" t="s">
        <v>276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137</v>
      </c>
      <c r="C43" s="5"/>
      <c r="D43" s="24"/>
      <c r="E43" s="242"/>
      <c r="F43" s="13"/>
    </row>
    <row r="44" customHeight="1" spans="1:6">
      <c r="A44" s="10">
        <v>1</v>
      </c>
      <c r="B44" s="11" t="s">
        <v>837</v>
      </c>
      <c r="C44" s="4" t="s">
        <v>838</v>
      </c>
      <c r="D44" s="10" t="s">
        <v>124</v>
      </c>
      <c r="E44" s="242">
        <v>225000</v>
      </c>
      <c r="F44" s="13"/>
    </row>
    <row r="45" customHeight="1" spans="1:6">
      <c r="A45" s="10">
        <v>2</v>
      </c>
      <c r="B45" s="11" t="s">
        <v>839</v>
      </c>
      <c r="C45" s="4" t="s">
        <v>43</v>
      </c>
      <c r="D45" s="10" t="s">
        <v>38</v>
      </c>
      <c r="E45" s="242">
        <v>105000</v>
      </c>
      <c r="F45" s="13"/>
    </row>
    <row r="46" customHeight="1" spans="1:6">
      <c r="A46" s="10">
        <v>3</v>
      </c>
      <c r="B46" s="11" t="s">
        <v>138</v>
      </c>
      <c r="C46" s="4" t="s">
        <v>142</v>
      </c>
      <c r="D46" s="10" t="s">
        <v>38</v>
      </c>
      <c r="E46" s="242">
        <v>105000</v>
      </c>
      <c r="F46" s="13"/>
    </row>
    <row r="47" customHeight="1" spans="1:6">
      <c r="A47" s="10">
        <v>4</v>
      </c>
      <c r="B47" s="11" t="s">
        <v>141</v>
      </c>
      <c r="C47" s="4" t="s">
        <v>142</v>
      </c>
      <c r="D47" s="10" t="s">
        <v>38</v>
      </c>
      <c r="E47" s="242">
        <v>105000</v>
      </c>
      <c r="F47" s="13"/>
    </row>
    <row r="48" customHeight="1" spans="1:6">
      <c r="A48" s="10">
        <v>5</v>
      </c>
      <c r="B48" s="11" t="s">
        <v>143</v>
      </c>
      <c r="C48" s="4" t="s">
        <v>142</v>
      </c>
      <c r="D48" s="10" t="s">
        <v>49</v>
      </c>
      <c r="E48" s="242">
        <v>105000</v>
      </c>
      <c r="F48" s="13"/>
    </row>
    <row r="49" customHeight="1" spans="1:6">
      <c r="A49" s="10">
        <v>6</v>
      </c>
      <c r="B49" s="11" t="s">
        <v>144</v>
      </c>
      <c r="C49" s="4" t="s">
        <v>45</v>
      </c>
      <c r="D49" s="10" t="s">
        <v>46</v>
      </c>
      <c r="E49" s="242">
        <v>75000</v>
      </c>
      <c r="F49" s="13"/>
    </row>
    <row r="50" customHeight="1" spans="1:6">
      <c r="A50" s="10">
        <v>7</v>
      </c>
      <c r="B50" s="14" t="s">
        <v>145</v>
      </c>
      <c r="C50" s="4" t="s">
        <v>51</v>
      </c>
      <c r="D50" s="16" t="s">
        <v>46</v>
      </c>
      <c r="E50" s="242">
        <v>75000</v>
      </c>
      <c r="F50" s="13"/>
    </row>
    <row r="51" customHeight="1" spans="1:6">
      <c r="A51" s="10">
        <v>8</v>
      </c>
      <c r="B51" s="11" t="s">
        <v>1530</v>
      </c>
      <c r="C51" s="4" t="s">
        <v>51</v>
      </c>
      <c r="D51" s="10" t="s">
        <v>212</v>
      </c>
      <c r="E51" s="242">
        <v>75000</v>
      </c>
      <c r="F51" s="13"/>
    </row>
    <row r="52" customHeight="1" spans="1:6">
      <c r="A52" s="10">
        <v>9</v>
      </c>
      <c r="B52" s="11" t="s">
        <v>44</v>
      </c>
      <c r="C52" s="4" t="s">
        <v>852</v>
      </c>
      <c r="D52" s="10" t="s">
        <v>502</v>
      </c>
      <c r="E52" s="242">
        <v>75000</v>
      </c>
      <c r="F52" s="13"/>
    </row>
    <row r="53" customHeight="1" spans="1:6">
      <c r="A53" s="10">
        <v>10</v>
      </c>
      <c r="B53" s="11" t="s">
        <v>153</v>
      </c>
      <c r="C53" s="4" t="s">
        <v>150</v>
      </c>
      <c r="D53" s="10" t="s">
        <v>344</v>
      </c>
      <c r="E53" s="242">
        <v>45000</v>
      </c>
      <c r="F53" s="13"/>
    </row>
    <row r="54" customHeight="1" spans="1:6">
      <c r="A54" s="10">
        <v>11</v>
      </c>
      <c r="B54" s="11" t="s">
        <v>840</v>
      </c>
      <c r="C54" s="4" t="s">
        <v>150</v>
      </c>
      <c r="D54" s="10" t="s">
        <v>344</v>
      </c>
      <c r="E54" s="242">
        <v>45000</v>
      </c>
      <c r="F54" s="13"/>
    </row>
    <row r="55" customHeight="1" spans="1:6">
      <c r="A55" s="10">
        <v>12</v>
      </c>
      <c r="B55" s="11" t="s">
        <v>154</v>
      </c>
      <c r="C55" s="4" t="s">
        <v>150</v>
      </c>
      <c r="D55" s="10" t="s">
        <v>344</v>
      </c>
      <c r="E55" s="242">
        <v>45000</v>
      </c>
      <c r="F55" s="13"/>
    </row>
    <row r="56" ht="25.5" customHeight="1" spans="1:6">
      <c r="A56" s="10"/>
      <c r="B56" s="20" t="s">
        <v>120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156</v>
      </c>
      <c r="C58" s="21"/>
      <c r="D58" s="21"/>
      <c r="E58" s="246"/>
      <c r="F58" s="13"/>
    </row>
    <row r="59" customHeight="1" spans="1:6">
      <c r="A59" s="10">
        <v>1</v>
      </c>
      <c r="B59" s="11" t="s">
        <v>841</v>
      </c>
      <c r="C59" s="12" t="s">
        <v>158</v>
      </c>
      <c r="D59" s="15" t="s">
        <v>124</v>
      </c>
      <c r="E59" s="242">
        <v>225000</v>
      </c>
      <c r="F59" s="13"/>
    </row>
    <row r="60" customHeight="1" spans="1:6">
      <c r="A60" s="10">
        <v>2</v>
      </c>
      <c r="B60" s="11" t="s">
        <v>159</v>
      </c>
      <c r="C60" s="12" t="s">
        <v>160</v>
      </c>
      <c r="D60" s="15" t="s">
        <v>850</v>
      </c>
      <c r="E60" s="242">
        <v>105000</v>
      </c>
      <c r="F60" s="13"/>
    </row>
    <row r="61" customHeight="1" spans="1:6">
      <c r="A61" s="10"/>
      <c r="B61" s="20" t="s">
        <v>120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162</v>
      </c>
      <c r="C63" s="21"/>
      <c r="D63" s="21"/>
      <c r="E63" s="246"/>
      <c r="F63" s="13"/>
    </row>
    <row r="64" customHeight="1" spans="1:6">
      <c r="A64" s="10">
        <v>1</v>
      </c>
      <c r="B64" s="11" t="s">
        <v>842</v>
      </c>
      <c r="C64" s="17" t="s">
        <v>843</v>
      </c>
      <c r="D64" s="10" t="s">
        <v>124</v>
      </c>
      <c r="E64" s="242">
        <v>225000</v>
      </c>
      <c r="F64" s="13"/>
    </row>
    <row r="65" customHeight="1" spans="1:6">
      <c r="A65" s="10">
        <v>2</v>
      </c>
      <c r="B65" s="18" t="s">
        <v>844</v>
      </c>
      <c r="C65" s="17" t="s">
        <v>845</v>
      </c>
      <c r="D65" s="15" t="s">
        <v>1461</v>
      </c>
      <c r="E65" s="242">
        <v>105000</v>
      </c>
      <c r="F65" s="13"/>
    </row>
    <row r="66" customHeight="1" spans="1:6">
      <c r="A66" s="10">
        <v>3</v>
      </c>
      <c r="B66" s="11" t="s">
        <v>165</v>
      </c>
      <c r="C66" s="4" t="s">
        <v>167</v>
      </c>
      <c r="D66" s="10" t="s">
        <v>502</v>
      </c>
      <c r="E66" s="242">
        <v>75000</v>
      </c>
      <c r="F66" s="13"/>
    </row>
    <row r="67" customHeight="1" spans="1:6">
      <c r="A67" s="10">
        <v>4</v>
      </c>
      <c r="B67" s="18" t="s">
        <v>846</v>
      </c>
      <c r="C67" s="17" t="s">
        <v>167</v>
      </c>
      <c r="D67" s="15" t="s">
        <v>215</v>
      </c>
      <c r="E67" s="242">
        <v>75000</v>
      </c>
      <c r="F67" s="13"/>
    </row>
    <row r="68" customHeight="1" spans="1:6">
      <c r="A68" s="10">
        <v>5</v>
      </c>
      <c r="B68" s="14" t="s">
        <v>847</v>
      </c>
      <c r="C68" s="17" t="s">
        <v>51</v>
      </c>
      <c r="D68" s="15" t="s">
        <v>46</v>
      </c>
      <c r="E68" s="242">
        <v>75000</v>
      </c>
      <c r="F68" s="13"/>
    </row>
    <row r="69" customHeight="1" spans="1:6">
      <c r="A69" s="10">
        <v>6</v>
      </c>
      <c r="B69" s="14" t="s">
        <v>42</v>
      </c>
      <c r="C69" s="17" t="s">
        <v>51</v>
      </c>
      <c r="D69" s="15" t="s">
        <v>212</v>
      </c>
      <c r="E69" s="242">
        <v>75000</v>
      </c>
      <c r="F69" s="13"/>
    </row>
    <row r="70" customHeight="1" spans="1:6">
      <c r="A70" s="10">
        <v>7</v>
      </c>
      <c r="B70" s="11" t="s">
        <v>169</v>
      </c>
      <c r="C70" s="4" t="s">
        <v>150</v>
      </c>
      <c r="D70" s="10" t="s">
        <v>504</v>
      </c>
      <c r="E70" s="242">
        <v>45000</v>
      </c>
      <c r="F70" s="13"/>
    </row>
    <row r="71" customHeight="1" spans="1:6">
      <c r="A71" s="10">
        <v>8</v>
      </c>
      <c r="B71" s="11" t="s">
        <v>171</v>
      </c>
      <c r="C71" s="17" t="s">
        <v>71</v>
      </c>
      <c r="D71" s="15" t="s">
        <v>504</v>
      </c>
      <c r="E71" s="242">
        <v>45000</v>
      </c>
      <c r="F71" s="13"/>
    </row>
    <row r="72" customHeight="1" spans="1:6">
      <c r="A72" s="10">
        <v>9</v>
      </c>
      <c r="B72" s="11" t="s">
        <v>172</v>
      </c>
      <c r="C72" s="17" t="s">
        <v>71</v>
      </c>
      <c r="D72" s="15" t="s">
        <v>504</v>
      </c>
      <c r="E72" s="242">
        <v>45000</v>
      </c>
      <c r="F72" s="13"/>
    </row>
    <row r="73" customHeight="1" spans="1:6">
      <c r="A73" s="10">
        <v>10</v>
      </c>
      <c r="B73" s="11" t="s">
        <v>173</v>
      </c>
      <c r="C73" s="4" t="s">
        <v>553</v>
      </c>
      <c r="D73" s="10" t="s">
        <v>131</v>
      </c>
      <c r="E73" s="242">
        <v>45000</v>
      </c>
      <c r="F73" s="13"/>
    </row>
    <row r="74" customHeight="1" spans="1:6">
      <c r="A74" s="10">
        <v>11</v>
      </c>
      <c r="B74" s="11" t="s">
        <v>1613</v>
      </c>
      <c r="C74" s="17" t="s">
        <v>150</v>
      </c>
      <c r="D74" s="10" t="s">
        <v>74</v>
      </c>
      <c r="E74" s="242">
        <v>45000</v>
      </c>
      <c r="F74" s="13"/>
    </row>
    <row r="75" customHeight="1" spans="1:6">
      <c r="A75" s="10">
        <v>12</v>
      </c>
      <c r="B75" s="11" t="s">
        <v>81</v>
      </c>
      <c r="C75" s="17" t="s">
        <v>68</v>
      </c>
      <c r="D75" s="10" t="s">
        <v>99</v>
      </c>
      <c r="E75" s="242">
        <v>45000</v>
      </c>
      <c r="F75" s="13"/>
    </row>
    <row r="76" customHeight="1" spans="1:6">
      <c r="A76" s="10">
        <v>13</v>
      </c>
      <c r="B76" s="14" t="s">
        <v>67</v>
      </c>
      <c r="C76" s="17" t="s">
        <v>68</v>
      </c>
      <c r="D76" s="10" t="s">
        <v>111</v>
      </c>
      <c r="E76" s="242">
        <v>45000</v>
      </c>
      <c r="F76" s="13"/>
    </row>
    <row r="77" customHeight="1" spans="1:6">
      <c r="A77" s="10"/>
      <c r="B77" s="20" t="s">
        <v>120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180</v>
      </c>
      <c r="C79" s="21"/>
      <c r="D79" s="21"/>
      <c r="E79" s="246"/>
      <c r="F79" s="13"/>
    </row>
    <row r="80" customHeight="1" spans="1:6">
      <c r="A80" s="10">
        <v>1</v>
      </c>
      <c r="B80" s="11" t="s">
        <v>181</v>
      </c>
      <c r="C80" s="4" t="s">
        <v>182</v>
      </c>
      <c r="D80" s="10" t="s">
        <v>124</v>
      </c>
      <c r="E80" s="242">
        <v>225000</v>
      </c>
      <c r="F80" s="13"/>
    </row>
    <row r="81" customHeight="1" spans="1:6">
      <c r="A81" s="10">
        <v>2</v>
      </c>
      <c r="B81" s="14" t="s">
        <v>848</v>
      </c>
      <c r="C81" s="4" t="s">
        <v>849</v>
      </c>
      <c r="D81" s="15" t="s">
        <v>1461</v>
      </c>
      <c r="E81" s="242">
        <v>105000</v>
      </c>
      <c r="F81" s="13"/>
    </row>
    <row r="82" customHeight="1" spans="1:6">
      <c r="A82" s="10">
        <v>3</v>
      </c>
      <c r="B82" s="14" t="s">
        <v>1614</v>
      </c>
      <c r="C82" s="4" t="s">
        <v>1615</v>
      </c>
      <c r="D82" s="15" t="s">
        <v>1461</v>
      </c>
      <c r="E82" s="242">
        <v>105000</v>
      </c>
      <c r="F82" s="13"/>
    </row>
    <row r="83" customHeight="1" spans="1:6">
      <c r="A83" s="10">
        <v>4</v>
      </c>
      <c r="B83" s="11" t="s">
        <v>187</v>
      </c>
      <c r="C83" s="4" t="s">
        <v>1474</v>
      </c>
      <c r="D83" s="15" t="s">
        <v>502</v>
      </c>
      <c r="E83" s="242">
        <v>75000</v>
      </c>
      <c r="F83" s="13"/>
    </row>
    <row r="84" customHeight="1" spans="1:6">
      <c r="A84" s="10">
        <v>5</v>
      </c>
      <c r="B84" s="11" t="s">
        <v>194</v>
      </c>
      <c r="C84" s="4" t="s">
        <v>179</v>
      </c>
      <c r="D84" s="10" t="s">
        <v>74</v>
      </c>
      <c r="E84" s="242">
        <v>45000</v>
      </c>
      <c r="F84" s="13"/>
    </row>
    <row r="85" customHeight="1" spans="1:6">
      <c r="A85" s="10"/>
      <c r="B85" s="20" t="s">
        <v>120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202</v>
      </c>
      <c r="C87" s="25"/>
      <c r="D87" s="21"/>
      <c r="E87" s="242"/>
      <c r="F87" s="13"/>
    </row>
    <row r="88" customHeight="1" spans="1:6">
      <c r="A88" s="10">
        <v>1</v>
      </c>
      <c r="B88" s="11" t="s">
        <v>205</v>
      </c>
      <c r="C88" s="4" t="s">
        <v>142</v>
      </c>
      <c r="D88" s="10" t="s">
        <v>38</v>
      </c>
      <c r="E88" s="242">
        <v>105000</v>
      </c>
      <c r="F88" s="13"/>
    </row>
    <row r="89" customHeight="1" spans="1:6">
      <c r="A89" s="10">
        <v>2</v>
      </c>
      <c r="B89" s="11" t="s">
        <v>203</v>
      </c>
      <c r="C89" s="4" t="s">
        <v>142</v>
      </c>
      <c r="D89" s="10" t="s">
        <v>38</v>
      </c>
      <c r="E89" s="242">
        <v>105000</v>
      </c>
      <c r="F89" s="13"/>
    </row>
    <row r="90" customHeight="1" spans="1:6">
      <c r="A90" s="10">
        <v>3</v>
      </c>
      <c r="B90" s="14" t="s">
        <v>163</v>
      </c>
      <c r="C90" s="4" t="s">
        <v>51</v>
      </c>
      <c r="D90" s="10" t="s">
        <v>189</v>
      </c>
      <c r="E90" s="242">
        <v>75000</v>
      </c>
      <c r="F90" s="13"/>
    </row>
    <row r="91" customHeight="1" spans="1:6">
      <c r="A91" s="10">
        <v>4</v>
      </c>
      <c r="B91" s="11" t="s">
        <v>208</v>
      </c>
      <c r="C91" s="4" t="s">
        <v>45</v>
      </c>
      <c r="D91" s="10" t="s">
        <v>46</v>
      </c>
      <c r="E91" s="242">
        <v>75000</v>
      </c>
      <c r="F91" s="13"/>
    </row>
    <row r="92" ht="21.6" customHeight="1" spans="1:6">
      <c r="A92" s="10">
        <v>5</v>
      </c>
      <c r="B92" s="11" t="s">
        <v>209</v>
      </c>
      <c r="C92" s="4" t="s">
        <v>852</v>
      </c>
      <c r="D92" s="15" t="s">
        <v>502</v>
      </c>
      <c r="E92" s="242">
        <v>75000</v>
      </c>
      <c r="F92" s="13"/>
    </row>
    <row r="93" ht="21.6" customHeight="1" spans="1:6">
      <c r="A93" s="10">
        <v>6</v>
      </c>
      <c r="B93" s="11" t="s">
        <v>210</v>
      </c>
      <c r="C93" s="12" t="s">
        <v>167</v>
      </c>
      <c r="D93" s="15" t="s">
        <v>215</v>
      </c>
      <c r="E93" s="242">
        <v>75000</v>
      </c>
      <c r="F93" s="13"/>
    </row>
    <row r="94" ht="21.6" customHeight="1" spans="1:6">
      <c r="A94" s="10">
        <v>7</v>
      </c>
      <c r="B94" s="11" t="s">
        <v>211</v>
      </c>
      <c r="C94" s="12" t="s">
        <v>167</v>
      </c>
      <c r="D94" s="15" t="s">
        <v>215</v>
      </c>
      <c r="E94" s="242">
        <v>75000</v>
      </c>
      <c r="F94" s="13"/>
    </row>
    <row r="95" ht="21.6" customHeight="1" spans="1:6">
      <c r="A95" s="10">
        <v>8</v>
      </c>
      <c r="B95" s="11" t="s">
        <v>213</v>
      </c>
      <c r="C95" s="17" t="s">
        <v>71</v>
      </c>
      <c r="D95" s="15" t="s">
        <v>504</v>
      </c>
      <c r="E95" s="242">
        <v>45000</v>
      </c>
      <c r="F95" s="13"/>
    </row>
    <row r="96" ht="21.6" customHeight="1" spans="1:6">
      <c r="A96" s="10">
        <v>9</v>
      </c>
      <c r="B96" s="11" t="s">
        <v>217</v>
      </c>
      <c r="C96" s="4" t="s">
        <v>218</v>
      </c>
      <c r="D96" s="10" t="s">
        <v>80</v>
      </c>
      <c r="E96" s="242">
        <v>45000</v>
      </c>
      <c r="F96" s="13"/>
    </row>
    <row r="97" ht="21.6" customHeight="1" spans="1:6">
      <c r="A97" s="10">
        <v>10</v>
      </c>
      <c r="B97" s="11" t="s">
        <v>221</v>
      </c>
      <c r="C97" s="17" t="s">
        <v>222</v>
      </c>
      <c r="D97" s="15" t="s">
        <v>111</v>
      </c>
      <c r="E97" s="242">
        <v>45000</v>
      </c>
      <c r="F97" s="13"/>
    </row>
    <row r="98" customHeight="1" spans="1:6">
      <c r="A98" s="10"/>
      <c r="B98" s="20" t="s">
        <v>120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224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833</v>
      </c>
      <c r="C101" s="10" t="s">
        <v>834</v>
      </c>
      <c r="D101" s="15" t="s">
        <v>207</v>
      </c>
      <c r="E101" s="242">
        <v>150000</v>
      </c>
      <c r="F101" s="13"/>
    </row>
    <row r="102" customHeight="1" spans="1:6">
      <c r="A102" s="10">
        <v>2</v>
      </c>
      <c r="B102" s="11" t="s">
        <v>36</v>
      </c>
      <c r="C102" s="4" t="s">
        <v>228</v>
      </c>
      <c r="D102" s="10" t="s">
        <v>46</v>
      </c>
      <c r="E102" s="242">
        <v>75000</v>
      </c>
      <c r="F102" s="13"/>
    </row>
    <row r="103" customHeight="1" spans="1:6">
      <c r="A103" s="10">
        <v>3</v>
      </c>
      <c r="B103" s="11" t="s">
        <v>233</v>
      </c>
      <c r="C103" s="4" t="s">
        <v>555</v>
      </c>
      <c r="D103" s="15" t="s">
        <v>131</v>
      </c>
      <c r="E103" s="242">
        <v>45000</v>
      </c>
      <c r="F103" s="13"/>
    </row>
    <row r="104" customHeight="1" spans="1:6">
      <c r="A104" s="10">
        <v>4</v>
      </c>
      <c r="B104" s="11" t="s">
        <v>1616</v>
      </c>
      <c r="C104" s="4" t="s">
        <v>1617</v>
      </c>
      <c r="D104" s="15" t="s">
        <v>105</v>
      </c>
      <c r="E104" s="242">
        <v>45000</v>
      </c>
      <c r="F104" s="13"/>
    </row>
    <row r="105" customHeight="1" spans="1:6">
      <c r="A105" s="4"/>
      <c r="B105" s="20" t="s">
        <v>120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237</v>
      </c>
      <c r="C107" s="4"/>
      <c r="D107" s="4"/>
      <c r="E107" s="247"/>
      <c r="F107" s="13"/>
    </row>
    <row r="108" customHeight="1" spans="1:6">
      <c r="A108" s="4">
        <v>1</v>
      </c>
      <c r="B108" s="11" t="s">
        <v>556</v>
      </c>
      <c r="C108" s="12" t="s">
        <v>239</v>
      </c>
      <c r="D108" s="15" t="s">
        <v>124</v>
      </c>
      <c r="E108" s="242">
        <v>225000</v>
      </c>
      <c r="F108" s="13"/>
    </row>
    <row r="109" customHeight="1" spans="1:6">
      <c r="A109" s="4">
        <v>2</v>
      </c>
      <c r="B109" s="11" t="s">
        <v>240</v>
      </c>
      <c r="C109" s="4" t="s">
        <v>241</v>
      </c>
      <c r="D109" s="16" t="s">
        <v>207</v>
      </c>
      <c r="E109" s="242">
        <v>150000</v>
      </c>
      <c r="F109" s="13"/>
    </row>
    <row r="110" customHeight="1" spans="1:6">
      <c r="A110" s="4">
        <v>3</v>
      </c>
      <c r="B110" s="11" t="s">
        <v>242</v>
      </c>
      <c r="C110" s="4" t="s">
        <v>557</v>
      </c>
      <c r="D110" s="10" t="s">
        <v>55</v>
      </c>
      <c r="E110" s="242">
        <v>75000</v>
      </c>
      <c r="F110" s="13"/>
    </row>
    <row r="111" customHeight="1" spans="1:6">
      <c r="A111" s="4">
        <v>4</v>
      </c>
      <c r="B111" s="11" t="s">
        <v>244</v>
      </c>
      <c r="C111" s="4" t="s">
        <v>557</v>
      </c>
      <c r="D111" s="10" t="s">
        <v>55</v>
      </c>
      <c r="E111" s="242">
        <v>75000</v>
      </c>
      <c r="F111" s="13"/>
    </row>
    <row r="112" customHeight="1" spans="1:6">
      <c r="A112" s="4">
        <v>5</v>
      </c>
      <c r="B112" s="11" t="s">
        <v>247</v>
      </c>
      <c r="C112" s="4" t="s">
        <v>248</v>
      </c>
      <c r="D112" s="15" t="s">
        <v>223</v>
      </c>
      <c r="E112" s="242">
        <v>45000</v>
      </c>
      <c r="F112" s="13"/>
    </row>
    <row r="113" customHeight="1" spans="1:6">
      <c r="A113" s="4">
        <v>6</v>
      </c>
      <c r="B113" s="18" t="s">
        <v>250</v>
      </c>
      <c r="C113" s="4" t="s">
        <v>248</v>
      </c>
      <c r="D113" s="10" t="s">
        <v>105</v>
      </c>
      <c r="E113" s="242">
        <v>45000</v>
      </c>
      <c r="F113" s="13"/>
    </row>
    <row r="114" customHeight="1" spans="1:6">
      <c r="A114" s="4">
        <v>7</v>
      </c>
      <c r="B114" s="18" t="s">
        <v>251</v>
      </c>
      <c r="C114" s="4" t="s">
        <v>248</v>
      </c>
      <c r="D114" s="15" t="s">
        <v>111</v>
      </c>
      <c r="E114" s="242">
        <v>45000</v>
      </c>
      <c r="F114" s="13"/>
    </row>
    <row r="115" customHeight="1" spans="1:6">
      <c r="A115" s="4"/>
      <c r="B115" s="20" t="s">
        <v>120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1621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1538</v>
      </c>
      <c r="C118" s="17" t="s">
        <v>71</v>
      </c>
      <c r="D118" s="15" t="s">
        <v>69</v>
      </c>
      <c r="E118" s="242">
        <v>45000</v>
      </c>
      <c r="F118" s="13"/>
    </row>
    <row r="119" ht="27" customHeight="1" spans="1:6">
      <c r="A119" s="10">
        <v>2</v>
      </c>
      <c r="B119" s="11" t="s">
        <v>257</v>
      </c>
      <c r="C119" s="4" t="s">
        <v>258</v>
      </c>
      <c r="D119" s="15" t="s">
        <v>131</v>
      </c>
      <c r="E119" s="242">
        <v>45000</v>
      </c>
      <c r="F119" s="13"/>
    </row>
    <row r="120" ht="27" customHeight="1" spans="1:6">
      <c r="A120" s="4"/>
      <c r="B120" s="20" t="s">
        <v>120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279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280</v>
      </c>
      <c r="C123" s="12" t="s">
        <v>281</v>
      </c>
      <c r="D123" s="15" t="s">
        <v>124</v>
      </c>
      <c r="E123" s="242">
        <v>225000</v>
      </c>
      <c r="F123" s="13"/>
    </row>
    <row r="124" customHeight="1" spans="1:6">
      <c r="A124" s="4">
        <v>2</v>
      </c>
      <c r="B124" s="11" t="s">
        <v>282</v>
      </c>
      <c r="C124" s="12" t="s">
        <v>559</v>
      </c>
      <c r="D124" s="15" t="s">
        <v>38</v>
      </c>
      <c r="E124" s="242">
        <v>105000</v>
      </c>
      <c r="F124" s="13"/>
    </row>
    <row r="125" customHeight="1" spans="1:6">
      <c r="A125" s="4">
        <v>3</v>
      </c>
      <c r="B125" s="14" t="s">
        <v>284</v>
      </c>
      <c r="C125" s="12" t="s">
        <v>559</v>
      </c>
      <c r="D125" s="15" t="s">
        <v>38</v>
      </c>
      <c r="E125" s="242">
        <v>105000</v>
      </c>
      <c r="F125" s="13"/>
    </row>
    <row r="126" customHeight="1" spans="1:6">
      <c r="A126" s="4">
        <v>4</v>
      </c>
      <c r="B126" s="14" t="s">
        <v>855</v>
      </c>
      <c r="C126" s="12" t="s">
        <v>559</v>
      </c>
      <c r="D126" s="15" t="s">
        <v>41</v>
      </c>
      <c r="E126" s="242">
        <v>105000</v>
      </c>
      <c r="F126" s="13"/>
    </row>
    <row r="127" customHeight="1" spans="1:6">
      <c r="A127" s="4">
        <v>5</v>
      </c>
      <c r="B127" s="11" t="s">
        <v>287</v>
      </c>
      <c r="C127" s="12" t="s">
        <v>289</v>
      </c>
      <c r="D127" s="15" t="s">
        <v>212</v>
      </c>
      <c r="E127" s="242">
        <v>75000</v>
      </c>
      <c r="F127" s="13"/>
    </row>
    <row r="128" customHeight="1" spans="1:6">
      <c r="A128" s="4">
        <v>6</v>
      </c>
      <c r="B128" s="11" t="s">
        <v>288</v>
      </c>
      <c r="C128" s="12" t="s">
        <v>560</v>
      </c>
      <c r="D128" s="15" t="s">
        <v>502</v>
      </c>
      <c r="E128" s="242">
        <v>75000</v>
      </c>
      <c r="F128" s="13"/>
    </row>
    <row r="129" customHeight="1" spans="1:6">
      <c r="A129" s="4">
        <v>7</v>
      </c>
      <c r="B129" s="11" t="s">
        <v>290</v>
      </c>
      <c r="C129" s="12" t="s">
        <v>1476</v>
      </c>
      <c r="D129" s="15" t="s">
        <v>502</v>
      </c>
      <c r="E129" s="242">
        <v>75000</v>
      </c>
      <c r="F129" s="13"/>
    </row>
    <row r="130" customHeight="1" spans="1:6">
      <c r="A130" s="4">
        <v>8</v>
      </c>
      <c r="B130" s="11" t="s">
        <v>293</v>
      </c>
      <c r="C130" s="12" t="s">
        <v>561</v>
      </c>
      <c r="D130" s="10" t="s">
        <v>99</v>
      </c>
      <c r="E130" s="242">
        <v>45000</v>
      </c>
      <c r="F130" s="13"/>
    </row>
    <row r="131" customHeight="1" spans="1:6">
      <c r="A131" s="4">
        <v>9</v>
      </c>
      <c r="B131" s="18" t="s">
        <v>295</v>
      </c>
      <c r="C131" s="12" t="s">
        <v>296</v>
      </c>
      <c r="D131" s="15" t="s">
        <v>111</v>
      </c>
      <c r="E131" s="242">
        <v>45000</v>
      </c>
      <c r="F131" s="13"/>
    </row>
    <row r="132" customHeight="1" spans="1:6">
      <c r="A132" s="4"/>
      <c r="B132" s="20" t="s">
        <v>120</v>
      </c>
      <c r="C132" s="26" t="s">
        <v>1618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300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856</v>
      </c>
      <c r="C135" s="12" t="s">
        <v>857</v>
      </c>
      <c r="D135" s="15" t="s">
        <v>124</v>
      </c>
      <c r="E135" s="242">
        <v>225000</v>
      </c>
      <c r="F135" s="13"/>
    </row>
    <row r="136" customHeight="1" spans="1:6">
      <c r="A136" s="27">
        <v>2</v>
      </c>
      <c r="B136" s="11" t="s">
        <v>858</v>
      </c>
      <c r="C136" s="12" t="s">
        <v>859</v>
      </c>
      <c r="D136" s="15" t="s">
        <v>35</v>
      </c>
      <c r="E136" s="242">
        <v>150000</v>
      </c>
      <c r="F136" s="13"/>
    </row>
    <row r="137" customHeight="1" spans="1:6">
      <c r="A137" s="27">
        <v>3</v>
      </c>
      <c r="B137" s="14" t="s">
        <v>304</v>
      </c>
      <c r="C137" s="4" t="s">
        <v>305</v>
      </c>
      <c r="D137" s="16" t="s">
        <v>207</v>
      </c>
      <c r="E137" s="242">
        <v>150000</v>
      </c>
      <c r="F137" s="13"/>
    </row>
    <row r="138" customHeight="1" spans="1:6">
      <c r="A138" s="27">
        <v>4</v>
      </c>
      <c r="B138" s="11" t="s">
        <v>306</v>
      </c>
      <c r="C138" s="12" t="s">
        <v>860</v>
      </c>
      <c r="D138" s="15" t="s">
        <v>46</v>
      </c>
      <c r="E138" s="242">
        <v>75000</v>
      </c>
      <c r="F138" s="13"/>
    </row>
    <row r="139" customHeight="1" spans="1:6">
      <c r="A139" s="27">
        <v>5</v>
      </c>
      <c r="B139" s="11" t="s">
        <v>308</v>
      </c>
      <c r="C139" s="4" t="s">
        <v>312</v>
      </c>
      <c r="D139" s="15" t="s">
        <v>46</v>
      </c>
      <c r="E139" s="242">
        <v>75000</v>
      </c>
      <c r="F139" s="13"/>
    </row>
    <row r="140" customHeight="1" spans="1:6">
      <c r="A140" s="27">
        <v>6</v>
      </c>
      <c r="B140" s="11" t="s">
        <v>227</v>
      </c>
      <c r="C140" s="4" t="s">
        <v>862</v>
      </c>
      <c r="D140" s="15" t="s">
        <v>502</v>
      </c>
      <c r="E140" s="242">
        <v>75000</v>
      </c>
      <c r="F140" s="13"/>
    </row>
    <row r="141" customHeight="1" spans="1:6">
      <c r="A141" s="27">
        <v>7</v>
      </c>
      <c r="B141" s="11" t="s">
        <v>229</v>
      </c>
      <c r="C141" s="12" t="s">
        <v>861</v>
      </c>
      <c r="D141" s="15" t="s">
        <v>69</v>
      </c>
      <c r="E141" s="242">
        <v>45000</v>
      </c>
      <c r="F141" s="13"/>
    </row>
    <row r="142" customHeight="1" spans="1:6">
      <c r="A142" s="27">
        <v>8</v>
      </c>
      <c r="B142" s="11" t="s">
        <v>313</v>
      </c>
      <c r="C142" s="12" t="s">
        <v>861</v>
      </c>
      <c r="D142" s="15" t="s">
        <v>69</v>
      </c>
      <c r="E142" s="242">
        <v>45000</v>
      </c>
      <c r="F142" s="13"/>
    </row>
    <row r="143" customHeight="1" spans="1:6">
      <c r="A143" s="27">
        <v>9</v>
      </c>
      <c r="B143" s="11" t="s">
        <v>314</v>
      </c>
      <c r="C143" s="4" t="s">
        <v>862</v>
      </c>
      <c r="D143" s="15" t="s">
        <v>69</v>
      </c>
      <c r="E143" s="242">
        <v>45000</v>
      </c>
      <c r="F143" s="13"/>
    </row>
    <row r="144" customHeight="1" spans="1:6">
      <c r="A144" s="27">
        <v>10</v>
      </c>
      <c r="B144" s="11" t="s">
        <v>316</v>
      </c>
      <c r="C144" s="12" t="s">
        <v>863</v>
      </c>
      <c r="D144" s="15" t="s">
        <v>131</v>
      </c>
      <c r="E144" s="242">
        <v>45000</v>
      </c>
      <c r="F144" s="13"/>
    </row>
    <row r="145" customHeight="1" spans="1:6">
      <c r="A145" s="27">
        <v>11</v>
      </c>
      <c r="B145" s="11" t="s">
        <v>318</v>
      </c>
      <c r="C145" s="12" t="s">
        <v>1478</v>
      </c>
      <c r="D145" s="15" t="s">
        <v>151</v>
      </c>
      <c r="E145" s="242">
        <v>45000</v>
      </c>
      <c r="F145" s="13"/>
    </row>
    <row r="146" customHeight="1" spans="1:6">
      <c r="A146" s="27">
        <v>12</v>
      </c>
      <c r="B146" s="11" t="s">
        <v>61</v>
      </c>
      <c r="C146" s="12" t="s">
        <v>863</v>
      </c>
      <c r="D146" s="15" t="s">
        <v>69</v>
      </c>
      <c r="E146" s="242">
        <v>45000</v>
      </c>
      <c r="F146" s="13"/>
    </row>
    <row r="147" customHeight="1" spans="1:6">
      <c r="A147" s="27">
        <v>13</v>
      </c>
      <c r="B147" s="18" t="s">
        <v>320</v>
      </c>
      <c r="C147" s="4" t="s">
        <v>329</v>
      </c>
      <c r="D147" s="15" t="s">
        <v>151</v>
      </c>
      <c r="E147" s="242">
        <v>45000</v>
      </c>
      <c r="F147" s="13"/>
    </row>
    <row r="148" customHeight="1" spans="1:6">
      <c r="A148" s="27">
        <v>14</v>
      </c>
      <c r="B148" s="11" t="s">
        <v>322</v>
      </c>
      <c r="C148" s="4" t="s">
        <v>864</v>
      </c>
      <c r="D148" s="15" t="s">
        <v>74</v>
      </c>
      <c r="E148" s="242">
        <v>45000</v>
      </c>
      <c r="F148" s="13"/>
    </row>
    <row r="149" customHeight="1" spans="1:6">
      <c r="A149" s="27">
        <v>15</v>
      </c>
      <c r="B149" s="11" t="s">
        <v>323</v>
      </c>
      <c r="C149" s="4" t="s">
        <v>864</v>
      </c>
      <c r="D149" s="15" t="s">
        <v>77</v>
      </c>
      <c r="E149" s="242">
        <v>45000</v>
      </c>
      <c r="F149" s="13"/>
    </row>
    <row r="150" customHeight="1" spans="1:6">
      <c r="A150" s="27">
        <v>16</v>
      </c>
      <c r="B150" s="11" t="s">
        <v>325</v>
      </c>
      <c r="C150" s="4" t="s">
        <v>864</v>
      </c>
      <c r="D150" s="15" t="s">
        <v>77</v>
      </c>
      <c r="E150" s="242">
        <v>45000</v>
      </c>
      <c r="F150" s="13"/>
    </row>
    <row r="151" customHeight="1" spans="1:6">
      <c r="A151" s="27">
        <v>17</v>
      </c>
      <c r="B151" s="11" t="s">
        <v>326</v>
      </c>
      <c r="C151" s="12" t="s">
        <v>327</v>
      </c>
      <c r="D151" s="15" t="s">
        <v>80</v>
      </c>
      <c r="E151" s="242">
        <v>45000</v>
      </c>
      <c r="F151" s="13"/>
    </row>
    <row r="152" customHeight="1" spans="1:6">
      <c r="A152" s="27">
        <v>18</v>
      </c>
      <c r="B152" s="11" t="s">
        <v>1462</v>
      </c>
      <c r="C152" s="12" t="s">
        <v>329</v>
      </c>
      <c r="D152" s="10" t="s">
        <v>344</v>
      </c>
      <c r="E152" s="242">
        <v>45000</v>
      </c>
      <c r="F152" s="13"/>
    </row>
    <row r="153" customHeight="1" spans="1:6">
      <c r="A153" s="27">
        <v>19</v>
      </c>
      <c r="B153" s="11" t="s">
        <v>330</v>
      </c>
      <c r="C153" s="12" t="s">
        <v>565</v>
      </c>
      <c r="D153" s="15" t="s">
        <v>74</v>
      </c>
      <c r="E153" s="242">
        <v>45000</v>
      </c>
      <c r="F153" s="13"/>
    </row>
    <row r="154" customHeight="1" spans="1:6">
      <c r="A154" s="27">
        <v>20</v>
      </c>
      <c r="B154" s="11" t="s">
        <v>332</v>
      </c>
      <c r="C154" s="12" t="s">
        <v>566</v>
      </c>
      <c r="D154" s="15" t="s">
        <v>99</v>
      </c>
      <c r="E154" s="242">
        <v>45000</v>
      </c>
      <c r="F154" s="13"/>
    </row>
    <row r="155" customHeight="1" spans="1:6">
      <c r="A155" s="27">
        <v>21</v>
      </c>
      <c r="B155" s="11" t="s">
        <v>334</v>
      </c>
      <c r="C155" s="12" t="s">
        <v>567</v>
      </c>
      <c r="D155" s="15" t="s">
        <v>74</v>
      </c>
      <c r="E155" s="242">
        <v>45000</v>
      </c>
      <c r="F155" s="13"/>
    </row>
    <row r="156" customHeight="1" spans="1:6">
      <c r="A156" s="27">
        <v>22</v>
      </c>
      <c r="B156" s="11" t="s">
        <v>335</v>
      </c>
      <c r="C156" s="12" t="s">
        <v>568</v>
      </c>
      <c r="D156" s="15" t="s">
        <v>99</v>
      </c>
      <c r="E156" s="242">
        <v>45000</v>
      </c>
      <c r="F156" s="13"/>
    </row>
    <row r="157" customHeight="1" spans="1:6">
      <c r="A157" s="27">
        <v>23</v>
      </c>
      <c r="B157" s="18" t="s">
        <v>337</v>
      </c>
      <c r="C157" s="12" t="s">
        <v>348</v>
      </c>
      <c r="D157" s="15" t="s">
        <v>105</v>
      </c>
      <c r="E157" s="242">
        <v>45000</v>
      </c>
      <c r="F157" s="13"/>
    </row>
    <row r="158" customHeight="1" spans="1:6">
      <c r="A158" s="27">
        <v>24</v>
      </c>
      <c r="B158" s="18" t="s">
        <v>345</v>
      </c>
      <c r="C158" s="12" t="s">
        <v>346</v>
      </c>
      <c r="D158" s="15" t="s">
        <v>276</v>
      </c>
      <c r="E158" s="242">
        <v>45000</v>
      </c>
      <c r="F158" s="13"/>
    </row>
    <row r="159" customHeight="1" spans="1:6">
      <c r="A159" s="27">
        <v>25</v>
      </c>
      <c r="B159" s="18" t="s">
        <v>347</v>
      </c>
      <c r="C159" s="12" t="s">
        <v>348</v>
      </c>
      <c r="D159" s="15" t="s">
        <v>276</v>
      </c>
      <c r="E159" s="242">
        <v>45000</v>
      </c>
      <c r="F159" s="13"/>
    </row>
    <row r="160" customHeight="1" spans="1:6">
      <c r="A160" s="27">
        <v>26</v>
      </c>
      <c r="B160" s="18" t="s">
        <v>349</v>
      </c>
      <c r="C160" s="12" t="s">
        <v>350</v>
      </c>
      <c r="D160" s="15" t="s">
        <v>111</v>
      </c>
      <c r="E160" s="242">
        <v>45000</v>
      </c>
      <c r="F160" s="13"/>
    </row>
    <row r="161" customHeight="1" spans="1:6">
      <c r="A161" s="27">
        <v>27</v>
      </c>
      <c r="B161" s="18" t="s">
        <v>351</v>
      </c>
      <c r="C161" s="12" t="s">
        <v>569</v>
      </c>
      <c r="D161" s="15" t="s">
        <v>111</v>
      </c>
      <c r="E161" s="242">
        <v>45000</v>
      </c>
      <c r="F161" s="13"/>
    </row>
    <row r="162" customHeight="1" spans="1:6">
      <c r="A162" s="27">
        <v>28</v>
      </c>
      <c r="B162" s="11" t="s">
        <v>361</v>
      </c>
      <c r="C162" s="12" t="s">
        <v>362</v>
      </c>
      <c r="D162" s="15" t="s">
        <v>381</v>
      </c>
      <c r="E162" s="242">
        <v>30000</v>
      </c>
      <c r="F162" s="13"/>
    </row>
    <row r="163" customHeight="1" spans="1:6">
      <c r="A163" s="27">
        <v>29</v>
      </c>
      <c r="B163" s="11" t="s">
        <v>364</v>
      </c>
      <c r="C163" s="12" t="s">
        <v>362</v>
      </c>
      <c r="D163" s="15" t="s">
        <v>381</v>
      </c>
      <c r="E163" s="242">
        <v>30000</v>
      </c>
      <c r="F163" s="13"/>
    </row>
    <row r="164" customHeight="1" spans="1:6">
      <c r="A164" s="27">
        <v>30</v>
      </c>
      <c r="B164" s="11" t="s">
        <v>570</v>
      </c>
      <c r="C164" s="12" t="s">
        <v>362</v>
      </c>
      <c r="D164" s="15" t="s">
        <v>381</v>
      </c>
      <c r="E164" s="242">
        <v>30000</v>
      </c>
      <c r="F164" s="13"/>
    </row>
    <row r="165" customHeight="1" spans="1:6">
      <c r="A165" s="27">
        <v>32</v>
      </c>
      <c r="B165" s="11" t="s">
        <v>365</v>
      </c>
      <c r="C165" s="12" t="s">
        <v>362</v>
      </c>
      <c r="D165" s="15" t="s">
        <v>381</v>
      </c>
      <c r="E165" s="242">
        <v>30000</v>
      </c>
      <c r="F165" s="13"/>
    </row>
    <row r="166" customHeight="1" spans="1:6">
      <c r="A166" s="27">
        <v>33</v>
      </c>
      <c r="B166" s="11" t="s">
        <v>366</v>
      </c>
      <c r="C166" s="12" t="s">
        <v>362</v>
      </c>
      <c r="D166" s="15" t="s">
        <v>381</v>
      </c>
      <c r="E166" s="242">
        <v>30000</v>
      </c>
      <c r="F166" s="13"/>
    </row>
    <row r="167" customHeight="1" spans="1:6">
      <c r="A167" s="27">
        <v>34</v>
      </c>
      <c r="B167" s="11" t="s">
        <v>367</v>
      </c>
      <c r="C167" s="12" t="s">
        <v>362</v>
      </c>
      <c r="D167" s="15" t="s">
        <v>510</v>
      </c>
      <c r="E167" s="242">
        <v>30000</v>
      </c>
      <c r="F167" s="13"/>
    </row>
    <row r="168" customHeight="1" spans="1:6">
      <c r="A168" s="27">
        <v>35</v>
      </c>
      <c r="B168" s="11" t="s">
        <v>369</v>
      </c>
      <c r="C168" s="12" t="s">
        <v>362</v>
      </c>
      <c r="D168" s="15" t="s">
        <v>510</v>
      </c>
      <c r="E168" s="242">
        <v>30000</v>
      </c>
      <c r="F168" s="13"/>
    </row>
    <row r="169" customHeight="1" spans="1:6">
      <c r="A169" s="27">
        <v>36</v>
      </c>
      <c r="B169" s="14" t="s">
        <v>370</v>
      </c>
      <c r="C169" s="12" t="s">
        <v>362</v>
      </c>
      <c r="D169" s="15" t="s">
        <v>510</v>
      </c>
      <c r="E169" s="242">
        <v>30000</v>
      </c>
      <c r="F169" s="13"/>
    </row>
    <row r="170" customHeight="1" spans="1:6">
      <c r="A170" s="27">
        <v>37</v>
      </c>
      <c r="B170" s="11" t="s">
        <v>371</v>
      </c>
      <c r="C170" s="12" t="s">
        <v>362</v>
      </c>
      <c r="D170" s="15" t="s">
        <v>510</v>
      </c>
      <c r="E170" s="242">
        <v>30000</v>
      </c>
      <c r="F170" s="13"/>
    </row>
    <row r="171" customHeight="1" spans="1:6">
      <c r="A171" s="27">
        <v>38</v>
      </c>
      <c r="B171" s="18" t="s">
        <v>372</v>
      </c>
      <c r="C171" s="12" t="s">
        <v>362</v>
      </c>
      <c r="D171" s="15" t="s">
        <v>510</v>
      </c>
      <c r="E171" s="242">
        <v>30000</v>
      </c>
      <c r="F171" s="13"/>
    </row>
    <row r="172" customHeight="1" spans="1:6">
      <c r="A172" s="27">
        <v>39</v>
      </c>
      <c r="B172" s="18" t="s">
        <v>359</v>
      </c>
      <c r="C172" s="12" t="s">
        <v>362</v>
      </c>
      <c r="D172" s="15" t="s">
        <v>510</v>
      </c>
      <c r="E172" s="242">
        <v>30000</v>
      </c>
      <c r="F172" s="13"/>
    </row>
    <row r="173" customHeight="1" spans="1:6">
      <c r="A173" s="27">
        <v>40</v>
      </c>
      <c r="B173" s="11" t="s">
        <v>373</v>
      </c>
      <c r="C173" s="12" t="s">
        <v>393</v>
      </c>
      <c r="D173" s="15" t="s">
        <v>512</v>
      </c>
      <c r="E173" s="242">
        <v>30000</v>
      </c>
      <c r="F173" s="13"/>
    </row>
    <row r="174" customHeight="1" spans="1:6">
      <c r="A174" s="27">
        <v>41</v>
      </c>
      <c r="B174" s="11" t="s">
        <v>376</v>
      </c>
      <c r="C174" s="12" t="s">
        <v>393</v>
      </c>
      <c r="D174" s="15" t="s">
        <v>512</v>
      </c>
      <c r="E174" s="242">
        <v>30000</v>
      </c>
      <c r="F174" s="13"/>
    </row>
    <row r="175" customHeight="1" spans="1:6">
      <c r="A175" s="27">
        <v>42</v>
      </c>
      <c r="B175" s="18" t="s">
        <v>377</v>
      </c>
      <c r="C175" s="12" t="s">
        <v>393</v>
      </c>
      <c r="D175" s="15" t="s">
        <v>391</v>
      </c>
      <c r="E175" s="242">
        <v>30000</v>
      </c>
      <c r="F175" s="13"/>
    </row>
    <row r="176" customHeight="1" spans="1:6">
      <c r="A176" s="27">
        <v>43</v>
      </c>
      <c r="B176" s="11" t="s">
        <v>379</v>
      </c>
      <c r="C176" s="12" t="s">
        <v>393</v>
      </c>
      <c r="D176" s="15" t="s">
        <v>408</v>
      </c>
      <c r="E176" s="242">
        <v>30000</v>
      </c>
      <c r="F176" s="13"/>
    </row>
    <row r="177" customHeight="1" spans="1:6">
      <c r="A177" s="27">
        <v>44</v>
      </c>
      <c r="B177" s="11" t="s">
        <v>382</v>
      </c>
      <c r="C177" s="12" t="s">
        <v>390</v>
      </c>
      <c r="D177" s="15" t="s">
        <v>1463</v>
      </c>
      <c r="E177" s="242">
        <v>30000</v>
      </c>
      <c r="F177" s="13"/>
    </row>
    <row r="178" customHeight="1" spans="1:6">
      <c r="A178" s="27">
        <v>45</v>
      </c>
      <c r="B178" s="11" t="s">
        <v>383</v>
      </c>
      <c r="C178" s="12" t="s">
        <v>390</v>
      </c>
      <c r="D178" s="15" t="s">
        <v>1463</v>
      </c>
      <c r="E178" s="242">
        <v>30000</v>
      </c>
      <c r="F178" s="13"/>
    </row>
    <row r="179" customHeight="1" spans="1:6">
      <c r="A179" s="27">
        <v>46</v>
      </c>
      <c r="B179" s="11" t="s">
        <v>384</v>
      </c>
      <c r="C179" s="12" t="s">
        <v>390</v>
      </c>
      <c r="D179" s="15" t="s">
        <v>1463</v>
      </c>
      <c r="E179" s="242">
        <v>30000</v>
      </c>
      <c r="F179" s="13"/>
    </row>
    <row r="180" customHeight="1" spans="1:6">
      <c r="A180" s="27">
        <v>47</v>
      </c>
      <c r="B180" s="11" t="s">
        <v>385</v>
      </c>
      <c r="C180" s="12" t="s">
        <v>390</v>
      </c>
      <c r="D180" s="15" t="s">
        <v>1463</v>
      </c>
      <c r="E180" s="242">
        <v>30000</v>
      </c>
      <c r="F180" s="13"/>
    </row>
    <row r="181" customHeight="1" spans="1:6">
      <c r="A181" s="27">
        <v>48</v>
      </c>
      <c r="B181" s="11" t="s">
        <v>386</v>
      </c>
      <c r="C181" s="12" t="s">
        <v>390</v>
      </c>
      <c r="D181" s="15" t="s">
        <v>1463</v>
      </c>
      <c r="E181" s="242">
        <v>30000</v>
      </c>
      <c r="F181" s="13"/>
    </row>
    <row r="182" customHeight="1" spans="1:6">
      <c r="A182" s="27">
        <v>49</v>
      </c>
      <c r="B182" s="18" t="s">
        <v>387</v>
      </c>
      <c r="C182" s="12" t="s">
        <v>390</v>
      </c>
      <c r="D182" s="15" t="s">
        <v>1463</v>
      </c>
      <c r="E182" s="242">
        <v>30000</v>
      </c>
      <c r="F182" s="13"/>
    </row>
    <row r="183" customHeight="1" spans="1:6">
      <c r="A183" s="27">
        <v>50</v>
      </c>
      <c r="B183" s="18" t="s">
        <v>389</v>
      </c>
      <c r="C183" s="12" t="s">
        <v>390</v>
      </c>
      <c r="D183" s="15" t="s">
        <v>1463</v>
      </c>
      <c r="E183" s="242">
        <v>30000</v>
      </c>
      <c r="F183" s="13"/>
    </row>
    <row r="184" customHeight="1" spans="1:6">
      <c r="A184" s="27">
        <v>51</v>
      </c>
      <c r="B184" s="11" t="s">
        <v>572</v>
      </c>
      <c r="C184" s="12" t="s">
        <v>393</v>
      </c>
      <c r="D184" s="15" t="s">
        <v>1463</v>
      </c>
      <c r="E184" s="242">
        <v>30000</v>
      </c>
      <c r="F184" s="13"/>
    </row>
    <row r="185" customHeight="1" spans="1:6">
      <c r="A185" s="27">
        <v>52</v>
      </c>
      <c r="B185" s="11" t="s">
        <v>392</v>
      </c>
      <c r="C185" s="12" t="s">
        <v>393</v>
      </c>
      <c r="D185" s="15" t="s">
        <v>1463</v>
      </c>
      <c r="E185" s="242">
        <v>30000</v>
      </c>
      <c r="F185" s="13"/>
    </row>
    <row r="186" customHeight="1" spans="1:6">
      <c r="A186" s="27">
        <v>53</v>
      </c>
      <c r="B186" s="18" t="s">
        <v>360</v>
      </c>
      <c r="C186" s="12" t="s">
        <v>390</v>
      </c>
      <c r="D186" s="15" t="s">
        <v>1479</v>
      </c>
      <c r="E186" s="242">
        <v>30000</v>
      </c>
      <c r="F186" s="13"/>
    </row>
    <row r="187" customHeight="1" spans="1:6">
      <c r="A187" s="27">
        <v>54</v>
      </c>
      <c r="B187" s="18" t="s">
        <v>397</v>
      </c>
      <c r="C187" s="12" t="s">
        <v>390</v>
      </c>
      <c r="D187" s="15" t="s">
        <v>513</v>
      </c>
      <c r="E187" s="242">
        <v>30000</v>
      </c>
      <c r="F187" s="13"/>
    </row>
    <row r="188" customHeight="1" spans="1:6">
      <c r="A188" s="27"/>
      <c r="B188" s="8" t="s">
        <v>120</v>
      </c>
      <c r="C188" s="28" t="s">
        <v>1622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411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1603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597</v>
      </c>
    </row>
    <row r="5" ht="17.25" customHeight="1" spans="3:5">
      <c r="C5" s="8"/>
      <c r="D5" s="8"/>
      <c r="E5" s="230" t="s">
        <v>20</v>
      </c>
    </row>
    <row r="6" customHeight="1" spans="1:5">
      <c r="A6" s="9" t="s">
        <v>21</v>
      </c>
      <c r="B6" s="8" t="s">
        <v>22</v>
      </c>
      <c r="C6" s="8"/>
      <c r="D6" s="8"/>
      <c r="E6" s="230"/>
    </row>
    <row r="7" customHeight="1" spans="1:6">
      <c r="A7" s="10">
        <v>1</v>
      </c>
      <c r="B7" s="11" t="s">
        <v>23</v>
      </c>
      <c r="C7" s="12" t="s">
        <v>24</v>
      </c>
      <c r="D7" s="12" t="s">
        <v>25</v>
      </c>
      <c r="E7" s="242">
        <v>540000</v>
      </c>
      <c r="F7" s="13"/>
    </row>
    <row r="8" customHeight="1" spans="1:6">
      <c r="A8" s="10">
        <v>2</v>
      </c>
      <c r="B8" s="11" t="s">
        <v>1521</v>
      </c>
      <c r="C8" s="4" t="s">
        <v>1604</v>
      </c>
      <c r="D8" s="10" t="s">
        <v>35</v>
      </c>
      <c r="E8" s="242">
        <v>180000</v>
      </c>
      <c r="F8" s="13"/>
    </row>
    <row r="9" customHeight="1" spans="1:6">
      <c r="A9" s="10">
        <v>3</v>
      </c>
      <c r="B9" s="11" t="s">
        <v>26</v>
      </c>
      <c r="C9" s="12" t="s">
        <v>27</v>
      </c>
      <c r="D9" s="10" t="s">
        <v>28</v>
      </c>
      <c r="E9" s="242">
        <v>180000</v>
      </c>
      <c r="F9" s="13"/>
    </row>
    <row r="10" customHeight="1" spans="1:6">
      <c r="A10" s="10">
        <v>4</v>
      </c>
      <c r="B10" s="14" t="s">
        <v>29</v>
      </c>
      <c r="C10" s="4" t="s">
        <v>30</v>
      </c>
      <c r="D10" s="15" t="s">
        <v>207</v>
      </c>
      <c r="E10" s="242">
        <v>180000</v>
      </c>
      <c r="F10" s="13"/>
    </row>
    <row r="11" customHeight="1" spans="1:6">
      <c r="A11" s="10">
        <v>5</v>
      </c>
      <c r="B11" s="14" t="s">
        <v>225</v>
      </c>
      <c r="C11" s="4" t="s">
        <v>1523</v>
      </c>
      <c r="D11" s="16" t="s">
        <v>207</v>
      </c>
      <c r="E11" s="242">
        <v>180000</v>
      </c>
      <c r="F11" s="13"/>
    </row>
    <row r="12" customHeight="1" spans="1:6">
      <c r="A12" s="10">
        <v>6</v>
      </c>
      <c r="B12" s="11" t="s">
        <v>31</v>
      </c>
      <c r="C12" s="17" t="s">
        <v>32</v>
      </c>
      <c r="D12" s="16" t="s">
        <v>207</v>
      </c>
      <c r="E12" s="242">
        <v>180000</v>
      </c>
      <c r="F12" s="13"/>
    </row>
    <row r="13" customHeight="1" spans="1:6">
      <c r="A13" s="10">
        <v>7</v>
      </c>
      <c r="B13" s="14" t="s">
        <v>301</v>
      </c>
      <c r="C13" s="4" t="s">
        <v>832</v>
      </c>
      <c r="D13" s="16" t="s">
        <v>207</v>
      </c>
      <c r="E13" s="242">
        <v>180000</v>
      </c>
      <c r="F13" s="13"/>
    </row>
    <row r="14" customHeight="1" spans="1:6">
      <c r="A14" s="10">
        <v>8</v>
      </c>
      <c r="B14" s="11" t="s">
        <v>33</v>
      </c>
      <c r="C14" s="12" t="s">
        <v>835</v>
      </c>
      <c r="D14" s="15" t="s">
        <v>38</v>
      </c>
      <c r="E14" s="242">
        <v>126000</v>
      </c>
      <c r="F14" s="13"/>
    </row>
    <row r="15" customHeight="1" spans="1:6">
      <c r="A15" s="10">
        <v>9</v>
      </c>
      <c r="B15" s="18" t="s">
        <v>183</v>
      </c>
      <c r="C15" s="12" t="s">
        <v>851</v>
      </c>
      <c r="D15" s="10" t="s">
        <v>850</v>
      </c>
      <c r="E15" s="242">
        <v>126000</v>
      </c>
      <c r="F15" s="13"/>
    </row>
    <row r="16" customHeight="1" spans="1:6">
      <c r="A16" s="10">
        <v>10</v>
      </c>
      <c r="B16" s="19" t="s">
        <v>1607</v>
      </c>
      <c r="C16" s="4" t="s">
        <v>1608</v>
      </c>
      <c r="D16" s="16" t="s">
        <v>46</v>
      </c>
      <c r="E16" s="242">
        <v>90000</v>
      </c>
      <c r="F16" s="13"/>
    </row>
    <row r="17" ht="19.5" customHeight="1" spans="1:6">
      <c r="A17" s="10">
        <v>11</v>
      </c>
      <c r="B17" s="14" t="s">
        <v>1524</v>
      </c>
      <c r="C17" s="4" t="s">
        <v>547</v>
      </c>
      <c r="D17" s="10" t="s">
        <v>46</v>
      </c>
      <c r="E17" s="242">
        <v>90000</v>
      </c>
      <c r="F17" s="13"/>
    </row>
    <row r="18" ht="19.5" customHeight="1" spans="1:6">
      <c r="A18" s="10">
        <v>12</v>
      </c>
      <c r="B18" s="14" t="s">
        <v>1609</v>
      </c>
      <c r="C18" s="4" t="s">
        <v>1610</v>
      </c>
      <c r="D18" s="10" t="s">
        <v>46</v>
      </c>
      <c r="E18" s="242">
        <v>90000</v>
      </c>
      <c r="F18" s="13"/>
    </row>
    <row r="19" customHeight="1" spans="1:6">
      <c r="A19" s="10">
        <v>13</v>
      </c>
      <c r="B19" s="11" t="s">
        <v>39</v>
      </c>
      <c r="C19" s="4" t="s">
        <v>547</v>
      </c>
      <c r="D19" s="15" t="s">
        <v>46</v>
      </c>
      <c r="E19" s="242">
        <v>90000</v>
      </c>
      <c r="F19" s="13"/>
    </row>
    <row r="20" customHeight="1" spans="1:6">
      <c r="A20" s="10">
        <v>14</v>
      </c>
      <c r="B20" s="11" t="s">
        <v>50</v>
      </c>
      <c r="C20" s="12" t="s">
        <v>60</v>
      </c>
      <c r="D20" s="15" t="s">
        <v>215</v>
      </c>
      <c r="E20" s="242">
        <v>90000</v>
      </c>
      <c r="F20" s="13"/>
    </row>
    <row r="21" customHeight="1" spans="1:6">
      <c r="A21" s="10">
        <v>15</v>
      </c>
      <c r="B21" s="18" t="s">
        <v>53</v>
      </c>
      <c r="C21" s="4" t="s">
        <v>54</v>
      </c>
      <c r="D21" s="15" t="s">
        <v>503</v>
      </c>
      <c r="E21" s="242">
        <v>90000</v>
      </c>
      <c r="F21" s="13"/>
    </row>
    <row r="22" customHeight="1" spans="1:6">
      <c r="A22" s="10">
        <v>16</v>
      </c>
      <c r="B22" s="11" t="s">
        <v>190</v>
      </c>
      <c r="C22" s="12" t="s">
        <v>854</v>
      </c>
      <c r="D22" s="15" t="s">
        <v>69</v>
      </c>
      <c r="E22" s="242">
        <v>54000</v>
      </c>
      <c r="F22" s="13"/>
    </row>
    <row r="23" ht="18.75" customHeight="1" spans="1:6">
      <c r="A23" s="10">
        <v>17</v>
      </c>
      <c r="B23" s="11" t="s">
        <v>64</v>
      </c>
      <c r="C23" s="12" t="s">
        <v>176</v>
      </c>
      <c r="D23" s="15" t="s">
        <v>131</v>
      </c>
      <c r="E23" s="242">
        <v>54000</v>
      </c>
      <c r="F23" s="13"/>
    </row>
    <row r="24" ht="18.75" customHeight="1" spans="1:6">
      <c r="A24" s="10">
        <v>18</v>
      </c>
      <c r="B24" s="18" t="s">
        <v>1611</v>
      </c>
      <c r="C24" s="12" t="s">
        <v>104</v>
      </c>
      <c r="D24" s="15" t="s">
        <v>77</v>
      </c>
      <c r="E24" s="242">
        <v>54000</v>
      </c>
      <c r="F24" s="13"/>
    </row>
    <row r="25" ht="18.75" customHeight="1" spans="1:6">
      <c r="A25" s="10">
        <v>19</v>
      </c>
      <c r="B25" s="4" t="s">
        <v>485</v>
      </c>
      <c r="C25" s="4" t="s">
        <v>94</v>
      </c>
      <c r="D25" s="10" t="s">
        <v>99</v>
      </c>
      <c r="E25" s="242">
        <v>54000</v>
      </c>
      <c r="F25" s="13"/>
    </row>
    <row r="26" ht="18.75" customHeight="1" spans="1:6">
      <c r="A26" s="10">
        <v>20</v>
      </c>
      <c r="B26" s="18" t="s">
        <v>78</v>
      </c>
      <c r="C26" s="12" t="s">
        <v>94</v>
      </c>
      <c r="D26" s="15" t="s">
        <v>99</v>
      </c>
      <c r="E26" s="242">
        <v>54000</v>
      </c>
      <c r="F26" s="13"/>
    </row>
    <row r="27" ht="18.75" customHeight="1" spans="1:6">
      <c r="A27" s="10">
        <v>21</v>
      </c>
      <c r="B27" s="11" t="s">
        <v>1525</v>
      </c>
      <c r="C27" s="12" t="s">
        <v>1526</v>
      </c>
      <c r="D27" s="15" t="s">
        <v>99</v>
      </c>
      <c r="E27" s="242">
        <v>54000</v>
      </c>
      <c r="F27" s="13"/>
    </row>
    <row r="28" ht="18.75" customHeight="1" spans="1:6">
      <c r="A28" s="10">
        <v>22</v>
      </c>
      <c r="B28" s="18" t="s">
        <v>83</v>
      </c>
      <c r="C28" s="12" t="s">
        <v>1473</v>
      </c>
      <c r="D28" s="15" t="s">
        <v>105</v>
      </c>
      <c r="E28" s="242">
        <v>54000</v>
      </c>
      <c r="F28" s="13"/>
    </row>
    <row r="29" ht="18.75" customHeight="1" spans="1:6">
      <c r="A29" s="10">
        <v>23</v>
      </c>
      <c r="B29" s="18" t="s">
        <v>86</v>
      </c>
      <c r="C29" s="4" t="s">
        <v>1527</v>
      </c>
      <c r="D29" s="10" t="s">
        <v>105</v>
      </c>
      <c r="E29" s="242">
        <v>54000</v>
      </c>
      <c r="F29" s="13"/>
    </row>
    <row r="30" ht="18.75" customHeight="1" spans="1:6">
      <c r="A30" s="10">
        <v>24</v>
      </c>
      <c r="B30" s="18" t="s">
        <v>91</v>
      </c>
      <c r="C30" s="17" t="s">
        <v>550</v>
      </c>
      <c r="D30" s="15" t="s">
        <v>99</v>
      </c>
      <c r="E30" s="242">
        <v>54000</v>
      </c>
      <c r="F30" s="13"/>
    </row>
    <row r="31" ht="18.75" customHeight="1" spans="1:6">
      <c r="A31" s="10">
        <v>25</v>
      </c>
      <c r="B31" s="18" t="s">
        <v>95</v>
      </c>
      <c r="C31" s="4" t="s">
        <v>551</v>
      </c>
      <c r="D31" s="10" t="s">
        <v>111</v>
      </c>
      <c r="E31" s="242">
        <v>54000</v>
      </c>
      <c r="F31" s="13"/>
    </row>
    <row r="32" ht="18.75" customHeight="1" spans="1:6">
      <c r="A32" s="10">
        <v>26</v>
      </c>
      <c r="B32" s="18" t="s">
        <v>1454</v>
      </c>
      <c r="C32" s="12" t="s">
        <v>104</v>
      </c>
      <c r="D32" s="15" t="s">
        <v>111</v>
      </c>
      <c r="E32" s="242">
        <v>54000</v>
      </c>
      <c r="F32" s="13"/>
    </row>
    <row r="33" ht="18.75" customHeight="1" spans="1:6">
      <c r="A33" s="10">
        <v>27</v>
      </c>
      <c r="B33" s="18" t="s">
        <v>1612</v>
      </c>
      <c r="C33" s="12" t="s">
        <v>104</v>
      </c>
      <c r="D33" s="15" t="s">
        <v>111</v>
      </c>
      <c r="E33" s="242">
        <v>54000</v>
      </c>
      <c r="F33" s="13"/>
    </row>
    <row r="34" ht="18.75" customHeight="1" spans="1:6">
      <c r="A34" s="10">
        <v>28</v>
      </c>
      <c r="B34" s="18" t="s">
        <v>297</v>
      </c>
      <c r="C34" s="12" t="s">
        <v>292</v>
      </c>
      <c r="D34" s="15" t="s">
        <v>276</v>
      </c>
      <c r="E34" s="242">
        <v>54000</v>
      </c>
      <c r="F34" s="13"/>
    </row>
    <row r="35" ht="26.25" customHeight="1" spans="1:6">
      <c r="A35" s="10"/>
      <c r="B35" s="20" t="s">
        <v>120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121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122</v>
      </c>
      <c r="C38" s="4" t="s">
        <v>123</v>
      </c>
      <c r="D38" s="10" t="s">
        <v>124</v>
      </c>
      <c r="E38" s="242">
        <v>270000</v>
      </c>
      <c r="F38" s="13"/>
    </row>
    <row r="39" ht="18.75" customHeight="1" spans="1:6">
      <c r="A39" s="10">
        <v>2</v>
      </c>
      <c r="B39" s="18" t="s">
        <v>127</v>
      </c>
      <c r="C39" s="4" t="s">
        <v>1064</v>
      </c>
      <c r="D39" s="10" t="s">
        <v>276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137</v>
      </c>
      <c r="C42" s="5"/>
      <c r="D42" s="24"/>
      <c r="E42" s="242"/>
      <c r="F42" s="13"/>
    </row>
    <row r="43" customHeight="1" spans="1:6">
      <c r="A43" s="10">
        <v>1</v>
      </c>
      <c r="B43" s="11" t="s">
        <v>837</v>
      </c>
      <c r="C43" s="4" t="s">
        <v>838</v>
      </c>
      <c r="D43" s="10" t="s">
        <v>124</v>
      </c>
      <c r="E43" s="242">
        <v>270000</v>
      </c>
      <c r="F43" s="13"/>
    </row>
    <row r="44" customHeight="1" spans="1:6">
      <c r="A44" s="10">
        <v>2</v>
      </c>
      <c r="B44" s="11" t="s">
        <v>839</v>
      </c>
      <c r="C44" s="4" t="s">
        <v>43</v>
      </c>
      <c r="D44" s="10" t="s">
        <v>38</v>
      </c>
      <c r="E44" s="242">
        <v>126000</v>
      </c>
      <c r="F44" s="13"/>
    </row>
    <row r="45" customHeight="1" spans="1:6">
      <c r="A45" s="10">
        <v>3</v>
      </c>
      <c r="B45" s="11" t="s">
        <v>138</v>
      </c>
      <c r="C45" s="4" t="s">
        <v>142</v>
      </c>
      <c r="D45" s="10" t="s">
        <v>38</v>
      </c>
      <c r="E45" s="242">
        <v>126000</v>
      </c>
      <c r="F45" s="13"/>
    </row>
    <row r="46" customHeight="1" spans="1:6">
      <c r="A46" s="10">
        <v>4</v>
      </c>
      <c r="B46" s="11" t="s">
        <v>141</v>
      </c>
      <c r="C46" s="4" t="s">
        <v>142</v>
      </c>
      <c r="D46" s="10" t="s">
        <v>38</v>
      </c>
      <c r="E46" s="242">
        <v>126000</v>
      </c>
      <c r="F46" s="13"/>
    </row>
    <row r="47" customHeight="1" spans="1:6">
      <c r="A47" s="10">
        <v>5</v>
      </c>
      <c r="B47" s="11" t="s">
        <v>143</v>
      </c>
      <c r="C47" s="4" t="s">
        <v>142</v>
      </c>
      <c r="D47" s="10" t="s">
        <v>49</v>
      </c>
      <c r="E47" s="242">
        <v>126000</v>
      </c>
      <c r="F47" s="13"/>
    </row>
    <row r="48" customHeight="1" spans="1:6">
      <c r="A48" s="10">
        <v>6</v>
      </c>
      <c r="B48" s="11" t="s">
        <v>144</v>
      </c>
      <c r="C48" s="4" t="s">
        <v>45</v>
      </c>
      <c r="D48" s="10" t="s">
        <v>46</v>
      </c>
      <c r="E48" s="242">
        <v>90000</v>
      </c>
      <c r="F48" s="13"/>
    </row>
    <row r="49" customHeight="1" spans="1:6">
      <c r="A49" s="10">
        <v>7</v>
      </c>
      <c r="B49" s="14" t="s">
        <v>145</v>
      </c>
      <c r="C49" s="4" t="s">
        <v>51</v>
      </c>
      <c r="D49" s="16" t="s">
        <v>46</v>
      </c>
      <c r="E49" s="242">
        <v>90000</v>
      </c>
      <c r="F49" s="13"/>
    </row>
    <row r="50" customHeight="1" spans="1:6">
      <c r="A50" s="10">
        <v>8</v>
      </c>
      <c r="B50" s="11" t="s">
        <v>1530</v>
      </c>
      <c r="C50" s="4" t="s">
        <v>51</v>
      </c>
      <c r="D50" s="10" t="s">
        <v>212</v>
      </c>
      <c r="E50" s="242">
        <v>90000</v>
      </c>
      <c r="F50" s="13"/>
    </row>
    <row r="51" customHeight="1" spans="1:6">
      <c r="A51" s="10">
        <v>9</v>
      </c>
      <c r="B51" s="11" t="s">
        <v>44</v>
      </c>
      <c r="C51" s="4" t="s">
        <v>852</v>
      </c>
      <c r="D51" s="10" t="s">
        <v>502</v>
      </c>
      <c r="E51" s="242">
        <v>90000</v>
      </c>
      <c r="F51" s="13"/>
    </row>
    <row r="52" customHeight="1" spans="1:6">
      <c r="A52" s="10">
        <v>10</v>
      </c>
      <c r="B52" s="11" t="s">
        <v>153</v>
      </c>
      <c r="C52" s="4" t="s">
        <v>150</v>
      </c>
      <c r="D52" s="10" t="s">
        <v>344</v>
      </c>
      <c r="E52" s="242">
        <v>54000</v>
      </c>
      <c r="F52" s="13"/>
    </row>
    <row r="53" customHeight="1" spans="1:6">
      <c r="A53" s="10">
        <v>11</v>
      </c>
      <c r="B53" s="11" t="s">
        <v>840</v>
      </c>
      <c r="C53" s="4" t="s">
        <v>150</v>
      </c>
      <c r="D53" s="10" t="s">
        <v>344</v>
      </c>
      <c r="E53" s="242">
        <v>54000</v>
      </c>
      <c r="F53" s="13"/>
    </row>
    <row r="54" customHeight="1" spans="1:6">
      <c r="A54" s="10">
        <v>12</v>
      </c>
      <c r="B54" s="11" t="s">
        <v>154</v>
      </c>
      <c r="C54" s="4" t="s">
        <v>150</v>
      </c>
      <c r="D54" s="10" t="s">
        <v>344</v>
      </c>
      <c r="E54" s="242">
        <v>54000</v>
      </c>
      <c r="F54" s="13"/>
    </row>
    <row r="55" ht="25.5" customHeight="1" spans="1:6">
      <c r="A55" s="10"/>
      <c r="B55" s="20" t="s">
        <v>120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156</v>
      </c>
      <c r="C57" s="21"/>
      <c r="D57" s="21"/>
      <c r="E57" s="246"/>
      <c r="F57" s="13"/>
    </row>
    <row r="58" customHeight="1" spans="1:6">
      <c r="A58" s="10">
        <v>1</v>
      </c>
      <c r="B58" s="11" t="s">
        <v>841</v>
      </c>
      <c r="C58" s="12" t="s">
        <v>158</v>
      </c>
      <c r="D58" s="15" t="s">
        <v>124</v>
      </c>
      <c r="E58" s="242">
        <v>270000</v>
      </c>
      <c r="F58" s="13"/>
    </row>
    <row r="59" customHeight="1" spans="1:6">
      <c r="A59" s="10">
        <v>2</v>
      </c>
      <c r="B59" s="11" t="s">
        <v>159</v>
      </c>
      <c r="C59" s="12" t="s">
        <v>160</v>
      </c>
      <c r="D59" s="15" t="s">
        <v>850</v>
      </c>
      <c r="E59" s="242">
        <v>126000</v>
      </c>
      <c r="F59" s="13"/>
    </row>
    <row r="60" customHeight="1" spans="1:6">
      <c r="A60" s="10"/>
      <c r="B60" s="20" t="s">
        <v>120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162</v>
      </c>
      <c r="C62" s="21"/>
      <c r="D62" s="21"/>
      <c r="E62" s="246"/>
      <c r="F62" s="13"/>
    </row>
    <row r="63" customHeight="1" spans="1:6">
      <c r="A63" s="10">
        <v>1</v>
      </c>
      <c r="B63" s="11" t="s">
        <v>842</v>
      </c>
      <c r="C63" s="17" t="s">
        <v>843</v>
      </c>
      <c r="D63" s="10" t="s">
        <v>124</v>
      </c>
      <c r="E63" s="242">
        <v>270000</v>
      </c>
      <c r="F63" s="13"/>
    </row>
    <row r="64" customHeight="1" spans="1:6">
      <c r="A64" s="10">
        <v>2</v>
      </c>
      <c r="B64" s="18" t="s">
        <v>844</v>
      </c>
      <c r="C64" s="17" t="s">
        <v>845</v>
      </c>
      <c r="D64" s="15" t="s">
        <v>1461</v>
      </c>
      <c r="E64" s="242">
        <v>126000</v>
      </c>
      <c r="F64" s="13"/>
    </row>
    <row r="65" customHeight="1" spans="1:6">
      <c r="A65" s="10">
        <v>3</v>
      </c>
      <c r="B65" s="11" t="s">
        <v>165</v>
      </c>
      <c r="C65" s="4" t="s">
        <v>167</v>
      </c>
      <c r="D65" s="10" t="s">
        <v>502</v>
      </c>
      <c r="E65" s="242">
        <v>90000</v>
      </c>
      <c r="F65" s="13"/>
    </row>
    <row r="66" customHeight="1" spans="1:6">
      <c r="A66" s="10">
        <v>4</v>
      </c>
      <c r="B66" s="18" t="s">
        <v>846</v>
      </c>
      <c r="C66" s="17" t="s">
        <v>167</v>
      </c>
      <c r="D66" s="15" t="s">
        <v>215</v>
      </c>
      <c r="E66" s="242">
        <v>90000</v>
      </c>
      <c r="F66" s="13"/>
    </row>
    <row r="67" customHeight="1" spans="1:6">
      <c r="A67" s="10">
        <v>5</v>
      </c>
      <c r="B67" s="14" t="s">
        <v>847</v>
      </c>
      <c r="C67" s="17" t="s">
        <v>51</v>
      </c>
      <c r="D67" s="15" t="s">
        <v>46</v>
      </c>
      <c r="E67" s="242">
        <v>90000</v>
      </c>
      <c r="F67" s="13"/>
    </row>
    <row r="68" customHeight="1" spans="1:6">
      <c r="A68" s="10">
        <v>6</v>
      </c>
      <c r="B68" s="14" t="s">
        <v>42</v>
      </c>
      <c r="C68" s="17" t="s">
        <v>51</v>
      </c>
      <c r="D68" s="15" t="s">
        <v>212</v>
      </c>
      <c r="E68" s="242">
        <v>90000</v>
      </c>
      <c r="F68" s="13"/>
    </row>
    <row r="69" customHeight="1" spans="1:6">
      <c r="A69" s="10">
        <v>7</v>
      </c>
      <c r="B69" s="11" t="s">
        <v>169</v>
      </c>
      <c r="C69" s="4" t="s">
        <v>150</v>
      </c>
      <c r="D69" s="10" t="s">
        <v>504</v>
      </c>
      <c r="E69" s="242">
        <v>54000</v>
      </c>
      <c r="F69" s="13"/>
    </row>
    <row r="70" customHeight="1" spans="1:6">
      <c r="A70" s="10">
        <v>8</v>
      </c>
      <c r="B70" s="11" t="s">
        <v>171</v>
      </c>
      <c r="C70" s="17" t="s">
        <v>71</v>
      </c>
      <c r="D70" s="15" t="s">
        <v>504</v>
      </c>
      <c r="E70" s="242">
        <v>54000</v>
      </c>
      <c r="F70" s="13"/>
    </row>
    <row r="71" customHeight="1" spans="1:6">
      <c r="A71" s="10">
        <v>9</v>
      </c>
      <c r="B71" s="11" t="s">
        <v>172</v>
      </c>
      <c r="C71" s="17" t="s">
        <v>71</v>
      </c>
      <c r="D71" s="15" t="s">
        <v>504</v>
      </c>
      <c r="E71" s="242">
        <v>54000</v>
      </c>
      <c r="F71" s="13"/>
    </row>
    <row r="72" customHeight="1" spans="1:6">
      <c r="A72" s="10">
        <v>10</v>
      </c>
      <c r="B72" s="11" t="s">
        <v>173</v>
      </c>
      <c r="C72" s="4" t="s">
        <v>553</v>
      </c>
      <c r="D72" s="10" t="s">
        <v>131</v>
      </c>
      <c r="E72" s="242">
        <v>54000</v>
      </c>
      <c r="F72" s="13"/>
    </row>
    <row r="73" customHeight="1" spans="1:6">
      <c r="A73" s="10">
        <v>11</v>
      </c>
      <c r="B73" s="11" t="s">
        <v>1613</v>
      </c>
      <c r="C73" s="17" t="s">
        <v>150</v>
      </c>
      <c r="D73" s="10" t="s">
        <v>74</v>
      </c>
      <c r="E73" s="242">
        <v>54000</v>
      </c>
      <c r="F73" s="13"/>
    </row>
    <row r="74" customHeight="1" spans="1:6">
      <c r="A74" s="10">
        <v>12</v>
      </c>
      <c r="B74" s="11" t="s">
        <v>81</v>
      </c>
      <c r="C74" s="17" t="s">
        <v>68</v>
      </c>
      <c r="D74" s="10" t="s">
        <v>99</v>
      </c>
      <c r="E74" s="242">
        <v>54000</v>
      </c>
      <c r="F74" s="13"/>
    </row>
    <row r="75" customHeight="1" spans="1:6">
      <c r="A75" s="10">
        <v>13</v>
      </c>
      <c r="B75" s="14" t="s">
        <v>67</v>
      </c>
      <c r="C75" s="17" t="s">
        <v>68</v>
      </c>
      <c r="D75" s="10" t="s">
        <v>111</v>
      </c>
      <c r="E75" s="242">
        <v>54000</v>
      </c>
      <c r="F75" s="13"/>
    </row>
    <row r="76" customHeight="1" spans="1:6">
      <c r="A76" s="10"/>
      <c r="B76" s="20" t="s">
        <v>120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180</v>
      </c>
      <c r="C78" s="21"/>
      <c r="D78" s="21"/>
      <c r="E78" s="246"/>
      <c r="F78" s="13"/>
    </row>
    <row r="79" customHeight="1" spans="1:6">
      <c r="A79" s="10">
        <v>1</v>
      </c>
      <c r="B79" s="11" t="s">
        <v>181</v>
      </c>
      <c r="C79" s="4" t="s">
        <v>182</v>
      </c>
      <c r="D79" s="10" t="s">
        <v>124</v>
      </c>
      <c r="E79" s="242">
        <v>270000</v>
      </c>
      <c r="F79" s="13"/>
    </row>
    <row r="80" customHeight="1" spans="1:6">
      <c r="A80" s="10">
        <v>2</v>
      </c>
      <c r="B80" s="14" t="s">
        <v>848</v>
      </c>
      <c r="C80" s="4" t="s">
        <v>849</v>
      </c>
      <c r="D80" s="15" t="s">
        <v>1461</v>
      </c>
      <c r="E80" s="242">
        <v>126000</v>
      </c>
      <c r="F80" s="13"/>
    </row>
    <row r="81" customHeight="1" spans="1:6">
      <c r="A81" s="10">
        <v>3</v>
      </c>
      <c r="B81" s="14" t="s">
        <v>1614</v>
      </c>
      <c r="C81" s="4" t="s">
        <v>1615</v>
      </c>
      <c r="D81" s="15" t="s">
        <v>1461</v>
      </c>
      <c r="E81" s="242">
        <v>126000</v>
      </c>
      <c r="F81" s="13"/>
    </row>
    <row r="82" customHeight="1" spans="1:6">
      <c r="A82" s="10">
        <v>4</v>
      </c>
      <c r="B82" s="11" t="s">
        <v>187</v>
      </c>
      <c r="C82" s="4" t="s">
        <v>1474</v>
      </c>
      <c r="D82" s="15" t="s">
        <v>502</v>
      </c>
      <c r="E82" s="242">
        <v>90000</v>
      </c>
      <c r="F82" s="13"/>
    </row>
    <row r="83" customHeight="1" spans="1:6">
      <c r="A83" s="10">
        <v>5</v>
      </c>
      <c r="B83" s="11" t="s">
        <v>194</v>
      </c>
      <c r="C83" s="4" t="s">
        <v>179</v>
      </c>
      <c r="D83" s="10" t="s">
        <v>74</v>
      </c>
      <c r="E83" s="242">
        <v>54000</v>
      </c>
      <c r="F83" s="13"/>
    </row>
    <row r="84" customHeight="1" spans="1:6">
      <c r="A84" s="10"/>
      <c r="B84" s="20" t="s">
        <v>120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202</v>
      </c>
      <c r="C86" s="25"/>
      <c r="D86" s="21"/>
      <c r="E86" s="242"/>
      <c r="F86" s="13"/>
    </row>
    <row r="87" customHeight="1" spans="1:6">
      <c r="A87" s="10">
        <v>1</v>
      </c>
      <c r="B87" s="11" t="s">
        <v>205</v>
      </c>
      <c r="C87" s="4" t="s">
        <v>142</v>
      </c>
      <c r="D87" s="10" t="s">
        <v>38</v>
      </c>
      <c r="E87" s="242">
        <v>126000</v>
      </c>
      <c r="F87" s="13"/>
    </row>
    <row r="88" customHeight="1" spans="1:6">
      <c r="A88" s="10">
        <v>2</v>
      </c>
      <c r="B88" s="11" t="s">
        <v>203</v>
      </c>
      <c r="C88" s="4" t="s">
        <v>142</v>
      </c>
      <c r="D88" s="10" t="s">
        <v>38</v>
      </c>
      <c r="E88" s="242">
        <v>126000</v>
      </c>
      <c r="F88" s="13"/>
    </row>
    <row r="89" customHeight="1" spans="1:6">
      <c r="A89" s="10">
        <v>3</v>
      </c>
      <c r="B89" s="14" t="s">
        <v>163</v>
      </c>
      <c r="C89" s="4" t="s">
        <v>51</v>
      </c>
      <c r="D89" s="10" t="s">
        <v>189</v>
      </c>
      <c r="E89" s="242">
        <v>90000</v>
      </c>
      <c r="F89" s="13"/>
    </row>
    <row r="90" customHeight="1" spans="1:6">
      <c r="A90" s="10">
        <v>4</v>
      </c>
      <c r="B90" s="11" t="s">
        <v>208</v>
      </c>
      <c r="C90" s="4" t="s">
        <v>45</v>
      </c>
      <c r="D90" s="10" t="s">
        <v>46</v>
      </c>
      <c r="E90" s="242">
        <v>90000</v>
      </c>
      <c r="F90" s="13"/>
    </row>
    <row r="91" ht="21.6" customHeight="1" spans="1:6">
      <c r="A91" s="10">
        <v>5</v>
      </c>
      <c r="B91" s="11" t="s">
        <v>209</v>
      </c>
      <c r="C91" s="4" t="s">
        <v>852</v>
      </c>
      <c r="D91" s="15" t="s">
        <v>502</v>
      </c>
      <c r="E91" s="242">
        <v>90000</v>
      </c>
      <c r="F91" s="13"/>
    </row>
    <row r="92" ht="21.6" customHeight="1" spans="1:6">
      <c r="A92" s="10">
        <v>6</v>
      </c>
      <c r="B92" s="11" t="s">
        <v>210</v>
      </c>
      <c r="C92" s="12" t="s">
        <v>167</v>
      </c>
      <c r="D92" s="15" t="s">
        <v>215</v>
      </c>
      <c r="E92" s="242">
        <v>90000</v>
      </c>
      <c r="F92" s="13"/>
    </row>
    <row r="93" ht="21.6" customHeight="1" spans="1:6">
      <c r="A93" s="10">
        <v>7</v>
      </c>
      <c r="B93" s="11" t="s">
        <v>211</v>
      </c>
      <c r="C93" s="12" t="s">
        <v>167</v>
      </c>
      <c r="D93" s="15" t="s">
        <v>215</v>
      </c>
      <c r="E93" s="242">
        <v>90000</v>
      </c>
      <c r="F93" s="13"/>
    </row>
    <row r="94" ht="21.6" customHeight="1" spans="1:6">
      <c r="A94" s="10">
        <v>8</v>
      </c>
      <c r="B94" s="11" t="s">
        <v>213</v>
      </c>
      <c r="C94" s="17" t="s">
        <v>71</v>
      </c>
      <c r="D94" s="15" t="s">
        <v>504</v>
      </c>
      <c r="E94" s="242">
        <v>54000</v>
      </c>
      <c r="F94" s="13"/>
    </row>
    <row r="95" ht="21.6" customHeight="1" spans="1:6">
      <c r="A95" s="10">
        <v>9</v>
      </c>
      <c r="B95" s="11" t="s">
        <v>217</v>
      </c>
      <c r="C95" s="4" t="s">
        <v>218</v>
      </c>
      <c r="D95" s="10" t="s">
        <v>80</v>
      </c>
      <c r="E95" s="242">
        <v>54000</v>
      </c>
      <c r="F95" s="13"/>
    </row>
    <row r="96" ht="21.6" customHeight="1" spans="1:6">
      <c r="A96" s="10">
        <v>10</v>
      </c>
      <c r="B96" s="11" t="s">
        <v>221</v>
      </c>
      <c r="C96" s="17" t="s">
        <v>222</v>
      </c>
      <c r="D96" s="15" t="s">
        <v>111</v>
      </c>
      <c r="E96" s="242">
        <v>54000</v>
      </c>
      <c r="F96" s="13"/>
    </row>
    <row r="97" customHeight="1" spans="1:6">
      <c r="A97" s="10"/>
      <c r="B97" s="20" t="s">
        <v>120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224</v>
      </c>
      <c r="C99" s="21"/>
      <c r="D99" s="21"/>
      <c r="E99" s="246"/>
      <c r="F99" s="13"/>
    </row>
    <row r="100" customHeight="1" spans="1:6">
      <c r="A100" s="10">
        <v>1</v>
      </c>
      <c r="B100" s="18" t="s">
        <v>833</v>
      </c>
      <c r="C100" s="10" t="s">
        <v>834</v>
      </c>
      <c r="D100" s="15" t="s">
        <v>207</v>
      </c>
      <c r="E100" s="242">
        <v>180000</v>
      </c>
      <c r="F100" s="13"/>
    </row>
    <row r="101" customHeight="1" spans="1:6">
      <c r="A101" s="10">
        <v>2</v>
      </c>
      <c r="B101" s="11" t="s">
        <v>36</v>
      </c>
      <c r="C101" s="4" t="s">
        <v>228</v>
      </c>
      <c r="D101" s="10" t="s">
        <v>46</v>
      </c>
      <c r="E101" s="242">
        <v>90000</v>
      </c>
      <c r="F101" s="13"/>
    </row>
    <row r="102" customHeight="1" spans="1:6">
      <c r="A102" s="10">
        <v>3</v>
      </c>
      <c r="B102" s="11" t="s">
        <v>233</v>
      </c>
      <c r="C102" s="4" t="s">
        <v>555</v>
      </c>
      <c r="D102" s="15" t="s">
        <v>131</v>
      </c>
      <c r="E102" s="242">
        <v>54000</v>
      </c>
      <c r="F102" s="13"/>
    </row>
    <row r="103" customHeight="1" spans="1:6">
      <c r="A103" s="10">
        <v>4</v>
      </c>
      <c r="B103" s="11" t="s">
        <v>1616</v>
      </c>
      <c r="C103" s="4" t="s">
        <v>1617</v>
      </c>
      <c r="D103" s="15" t="s">
        <v>105</v>
      </c>
      <c r="E103" s="242">
        <v>54000</v>
      </c>
      <c r="F103" s="13"/>
    </row>
    <row r="104" customHeight="1" spans="1:6">
      <c r="A104" s="4"/>
      <c r="B104" s="20" t="s">
        <v>120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237</v>
      </c>
      <c r="C106" s="4"/>
      <c r="D106" s="4"/>
      <c r="E106" s="247"/>
      <c r="F106" s="13"/>
    </row>
    <row r="107" customHeight="1" spans="1:6">
      <c r="A107" s="4">
        <v>1</v>
      </c>
      <c r="B107" s="11" t="s">
        <v>556</v>
      </c>
      <c r="C107" s="12" t="s">
        <v>239</v>
      </c>
      <c r="D107" s="15" t="s">
        <v>124</v>
      </c>
      <c r="E107" s="242">
        <v>270000</v>
      </c>
      <c r="F107" s="13"/>
    </row>
    <row r="108" customHeight="1" spans="1:6">
      <c r="A108" s="4">
        <v>2</v>
      </c>
      <c r="B108" s="11" t="s">
        <v>240</v>
      </c>
      <c r="C108" s="4" t="s">
        <v>241</v>
      </c>
      <c r="D108" s="16" t="s">
        <v>207</v>
      </c>
      <c r="E108" s="242">
        <v>180000</v>
      </c>
      <c r="F108" s="13"/>
    </row>
    <row r="109" customHeight="1" spans="1:6">
      <c r="A109" s="4">
        <v>3</v>
      </c>
      <c r="B109" s="11" t="s">
        <v>242</v>
      </c>
      <c r="C109" s="4" t="s">
        <v>557</v>
      </c>
      <c r="D109" s="10" t="s">
        <v>55</v>
      </c>
      <c r="E109" s="242">
        <v>90000</v>
      </c>
      <c r="F109" s="13"/>
    </row>
    <row r="110" customHeight="1" spans="1:6">
      <c r="A110" s="4">
        <v>4</v>
      </c>
      <c r="B110" s="11" t="s">
        <v>244</v>
      </c>
      <c r="C110" s="4" t="s">
        <v>557</v>
      </c>
      <c r="D110" s="10" t="s">
        <v>55</v>
      </c>
      <c r="E110" s="242">
        <v>90000</v>
      </c>
      <c r="F110" s="13"/>
    </row>
    <row r="111" customHeight="1" spans="1:6">
      <c r="A111" s="4">
        <v>5</v>
      </c>
      <c r="B111" s="11" t="s">
        <v>247</v>
      </c>
      <c r="C111" s="4" t="s">
        <v>248</v>
      </c>
      <c r="D111" s="15" t="s">
        <v>223</v>
      </c>
      <c r="E111" s="242">
        <v>54000</v>
      </c>
      <c r="F111" s="13"/>
    </row>
    <row r="112" customHeight="1" spans="1:6">
      <c r="A112" s="4">
        <v>6</v>
      </c>
      <c r="B112" s="18" t="s">
        <v>250</v>
      </c>
      <c r="C112" s="4" t="s">
        <v>248</v>
      </c>
      <c r="D112" s="10" t="s">
        <v>105</v>
      </c>
      <c r="E112" s="242">
        <v>54000</v>
      </c>
      <c r="F112" s="13"/>
    </row>
    <row r="113" customHeight="1" spans="1:6">
      <c r="A113" s="4">
        <v>7</v>
      </c>
      <c r="B113" s="18" t="s">
        <v>251</v>
      </c>
      <c r="C113" s="4" t="s">
        <v>248</v>
      </c>
      <c r="D113" s="15" t="s">
        <v>111</v>
      </c>
      <c r="E113" s="242">
        <v>54000</v>
      </c>
      <c r="F113" s="13"/>
    </row>
    <row r="114" customHeight="1" spans="1:6">
      <c r="A114" s="4"/>
      <c r="B114" s="20" t="s">
        <v>120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1623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1538</v>
      </c>
      <c r="C117" s="17" t="s">
        <v>71</v>
      </c>
      <c r="D117" s="15" t="s">
        <v>69</v>
      </c>
      <c r="E117" s="242">
        <v>54000</v>
      </c>
      <c r="F117" s="13"/>
    </row>
    <row r="118" ht="27" customHeight="1" spans="1:6">
      <c r="A118" s="10">
        <v>2</v>
      </c>
      <c r="B118" s="11" t="s">
        <v>257</v>
      </c>
      <c r="C118" s="4" t="s">
        <v>258</v>
      </c>
      <c r="D118" s="15" t="s">
        <v>131</v>
      </c>
      <c r="E118" s="242">
        <v>54000</v>
      </c>
      <c r="F118" s="13"/>
    </row>
    <row r="119" ht="27" customHeight="1" spans="1:6">
      <c r="A119" s="4"/>
      <c r="B119" s="20" t="s">
        <v>120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279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280</v>
      </c>
      <c r="C122" s="12" t="s">
        <v>281</v>
      </c>
      <c r="D122" s="15" t="s">
        <v>124</v>
      </c>
      <c r="E122" s="242">
        <v>270000</v>
      </c>
      <c r="F122" s="13"/>
    </row>
    <row r="123" customHeight="1" spans="1:6">
      <c r="A123" s="4">
        <v>2</v>
      </c>
      <c r="B123" s="11" t="s">
        <v>282</v>
      </c>
      <c r="C123" s="12" t="s">
        <v>559</v>
      </c>
      <c r="D123" s="15" t="s">
        <v>38</v>
      </c>
      <c r="E123" s="242">
        <v>126000</v>
      </c>
      <c r="F123" s="13"/>
    </row>
    <row r="124" customHeight="1" spans="1:6">
      <c r="A124" s="4">
        <v>3</v>
      </c>
      <c r="B124" s="14" t="s">
        <v>284</v>
      </c>
      <c r="C124" s="12" t="s">
        <v>559</v>
      </c>
      <c r="D124" s="15" t="s">
        <v>38</v>
      </c>
      <c r="E124" s="242">
        <v>126000</v>
      </c>
      <c r="F124" s="13"/>
    </row>
    <row r="125" customHeight="1" spans="1:6">
      <c r="A125" s="4">
        <v>4</v>
      </c>
      <c r="B125" s="14" t="s">
        <v>855</v>
      </c>
      <c r="C125" s="12" t="s">
        <v>559</v>
      </c>
      <c r="D125" s="15" t="s">
        <v>41</v>
      </c>
      <c r="E125" s="242">
        <v>126000</v>
      </c>
      <c r="F125" s="13"/>
    </row>
    <row r="126" customHeight="1" spans="1:6">
      <c r="A126" s="4">
        <v>5</v>
      </c>
      <c r="B126" s="11" t="s">
        <v>287</v>
      </c>
      <c r="C126" s="12" t="s">
        <v>289</v>
      </c>
      <c r="D126" s="15" t="s">
        <v>212</v>
      </c>
      <c r="E126" s="242">
        <v>90000</v>
      </c>
      <c r="F126" s="13"/>
    </row>
    <row r="127" customHeight="1" spans="1:6">
      <c r="A127" s="4">
        <v>6</v>
      </c>
      <c r="B127" s="11" t="s">
        <v>288</v>
      </c>
      <c r="C127" s="12" t="s">
        <v>560</v>
      </c>
      <c r="D127" s="15" t="s">
        <v>502</v>
      </c>
      <c r="E127" s="242">
        <v>90000</v>
      </c>
      <c r="F127" s="13"/>
    </row>
    <row r="128" customHeight="1" spans="1:6">
      <c r="A128" s="4">
        <v>7</v>
      </c>
      <c r="B128" s="11" t="s">
        <v>290</v>
      </c>
      <c r="C128" s="12" t="s">
        <v>1476</v>
      </c>
      <c r="D128" s="15" t="s">
        <v>502</v>
      </c>
      <c r="E128" s="242">
        <v>90000</v>
      </c>
      <c r="F128" s="13"/>
    </row>
    <row r="129" customHeight="1" spans="1:6">
      <c r="A129" s="4">
        <v>8</v>
      </c>
      <c r="B129" s="11" t="s">
        <v>293</v>
      </c>
      <c r="C129" s="12" t="s">
        <v>561</v>
      </c>
      <c r="D129" s="10" t="s">
        <v>99</v>
      </c>
      <c r="E129" s="242">
        <v>54000</v>
      </c>
      <c r="F129" s="13"/>
    </row>
    <row r="130" customHeight="1" spans="1:6">
      <c r="A130" s="4">
        <v>9</v>
      </c>
      <c r="B130" s="18" t="s">
        <v>295</v>
      </c>
      <c r="C130" s="12" t="s">
        <v>296</v>
      </c>
      <c r="D130" s="15" t="s">
        <v>111</v>
      </c>
      <c r="E130" s="242">
        <v>54000</v>
      </c>
      <c r="F130" s="13"/>
    </row>
    <row r="131" customHeight="1" spans="1:6">
      <c r="A131" s="4"/>
      <c r="B131" s="20" t="s">
        <v>120</v>
      </c>
      <c r="C131" s="26" t="s">
        <v>1618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300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856</v>
      </c>
      <c r="C134" s="12" t="s">
        <v>857</v>
      </c>
      <c r="D134" s="15" t="s">
        <v>124</v>
      </c>
      <c r="E134" s="242">
        <v>270000</v>
      </c>
      <c r="F134" s="13"/>
    </row>
    <row r="135" customHeight="1" spans="1:6">
      <c r="A135" s="27">
        <v>2</v>
      </c>
      <c r="B135" s="11" t="s">
        <v>858</v>
      </c>
      <c r="C135" s="12" t="s">
        <v>859</v>
      </c>
      <c r="D135" s="15" t="s">
        <v>35</v>
      </c>
      <c r="E135" s="242">
        <v>180000</v>
      </c>
      <c r="F135" s="13"/>
    </row>
    <row r="136" customHeight="1" spans="1:6">
      <c r="A136" s="27">
        <v>3</v>
      </c>
      <c r="B136" s="14" t="s">
        <v>304</v>
      </c>
      <c r="C136" s="4" t="s">
        <v>305</v>
      </c>
      <c r="D136" s="16" t="s">
        <v>207</v>
      </c>
      <c r="E136" s="242">
        <v>180000</v>
      </c>
      <c r="F136" s="13"/>
    </row>
    <row r="137" customHeight="1" spans="1:6">
      <c r="A137" s="27">
        <v>4</v>
      </c>
      <c r="B137" s="11" t="s">
        <v>306</v>
      </c>
      <c r="C137" s="12" t="s">
        <v>860</v>
      </c>
      <c r="D137" s="15" t="s">
        <v>46</v>
      </c>
      <c r="E137" s="242">
        <v>90000</v>
      </c>
      <c r="F137" s="13"/>
    </row>
    <row r="138" customHeight="1" spans="1:6">
      <c r="A138" s="27">
        <v>5</v>
      </c>
      <c r="B138" s="11" t="s">
        <v>308</v>
      </c>
      <c r="C138" s="4" t="s">
        <v>312</v>
      </c>
      <c r="D138" s="15" t="s">
        <v>46</v>
      </c>
      <c r="E138" s="242">
        <v>90000</v>
      </c>
      <c r="F138" s="13"/>
    </row>
    <row r="139" customHeight="1" spans="1:6">
      <c r="A139" s="27">
        <v>6</v>
      </c>
      <c r="B139" s="11" t="s">
        <v>227</v>
      </c>
      <c r="C139" s="4" t="s">
        <v>862</v>
      </c>
      <c r="D139" s="15" t="s">
        <v>502</v>
      </c>
      <c r="E139" s="242">
        <v>90000</v>
      </c>
      <c r="F139" s="13"/>
    </row>
    <row r="140" customHeight="1" spans="1:6">
      <c r="A140" s="27">
        <v>7</v>
      </c>
      <c r="B140" s="11" t="s">
        <v>229</v>
      </c>
      <c r="C140" s="12" t="s">
        <v>861</v>
      </c>
      <c r="D140" s="15" t="s">
        <v>69</v>
      </c>
      <c r="E140" s="242">
        <v>54000</v>
      </c>
      <c r="F140" s="13"/>
    </row>
    <row r="141" customHeight="1" spans="1:6">
      <c r="A141" s="27">
        <v>8</v>
      </c>
      <c r="B141" s="11" t="s">
        <v>313</v>
      </c>
      <c r="C141" s="12" t="s">
        <v>861</v>
      </c>
      <c r="D141" s="15" t="s">
        <v>69</v>
      </c>
      <c r="E141" s="242">
        <v>54000</v>
      </c>
      <c r="F141" s="13"/>
    </row>
    <row r="142" customHeight="1" spans="1:6">
      <c r="A142" s="27">
        <v>9</v>
      </c>
      <c r="B142" s="11" t="s">
        <v>314</v>
      </c>
      <c r="C142" s="4" t="s">
        <v>862</v>
      </c>
      <c r="D142" s="15" t="s">
        <v>69</v>
      </c>
      <c r="E142" s="242">
        <v>54000</v>
      </c>
      <c r="F142" s="13"/>
    </row>
    <row r="143" customHeight="1" spans="1:6">
      <c r="A143" s="27">
        <v>10</v>
      </c>
      <c r="B143" s="11" t="s">
        <v>316</v>
      </c>
      <c r="C143" s="12" t="s">
        <v>863</v>
      </c>
      <c r="D143" s="15" t="s">
        <v>131</v>
      </c>
      <c r="E143" s="242">
        <v>54000</v>
      </c>
      <c r="F143" s="13"/>
    </row>
    <row r="144" customHeight="1" spans="1:6">
      <c r="A144" s="27">
        <v>11</v>
      </c>
      <c r="B144" s="11" t="s">
        <v>318</v>
      </c>
      <c r="C144" s="12" t="s">
        <v>1478</v>
      </c>
      <c r="D144" s="15" t="s">
        <v>151</v>
      </c>
      <c r="E144" s="242">
        <v>54000</v>
      </c>
      <c r="F144" s="13"/>
    </row>
    <row r="145" customHeight="1" spans="1:6">
      <c r="A145" s="27">
        <v>12</v>
      </c>
      <c r="B145" s="11" t="s">
        <v>61</v>
      </c>
      <c r="C145" s="12" t="s">
        <v>863</v>
      </c>
      <c r="D145" s="15" t="s">
        <v>69</v>
      </c>
      <c r="E145" s="242">
        <v>54000</v>
      </c>
      <c r="F145" s="13"/>
    </row>
    <row r="146" customHeight="1" spans="1:6">
      <c r="A146" s="27">
        <v>13</v>
      </c>
      <c r="B146" s="18" t="s">
        <v>320</v>
      </c>
      <c r="C146" s="4" t="s">
        <v>329</v>
      </c>
      <c r="D146" s="15" t="s">
        <v>151</v>
      </c>
      <c r="E146" s="242">
        <v>54000</v>
      </c>
      <c r="F146" s="13"/>
    </row>
    <row r="147" customHeight="1" spans="1:6">
      <c r="A147" s="27">
        <v>14</v>
      </c>
      <c r="B147" s="11" t="s">
        <v>322</v>
      </c>
      <c r="C147" s="4" t="s">
        <v>864</v>
      </c>
      <c r="D147" s="15" t="s">
        <v>74</v>
      </c>
      <c r="E147" s="242">
        <v>54000</v>
      </c>
      <c r="F147" s="13"/>
    </row>
    <row r="148" customHeight="1" spans="1:6">
      <c r="A148" s="27">
        <v>15</v>
      </c>
      <c r="B148" s="11" t="s">
        <v>323</v>
      </c>
      <c r="C148" s="4" t="s">
        <v>864</v>
      </c>
      <c r="D148" s="15" t="s">
        <v>77</v>
      </c>
      <c r="E148" s="242">
        <v>54000</v>
      </c>
      <c r="F148" s="13"/>
    </row>
    <row r="149" customHeight="1" spans="1:6">
      <c r="A149" s="27">
        <v>16</v>
      </c>
      <c r="B149" s="11" t="s">
        <v>325</v>
      </c>
      <c r="C149" s="4" t="s">
        <v>864</v>
      </c>
      <c r="D149" s="15" t="s">
        <v>77</v>
      </c>
      <c r="E149" s="242">
        <v>54000</v>
      </c>
      <c r="F149" s="13"/>
    </row>
    <row r="150" customHeight="1" spans="1:6">
      <c r="A150" s="27">
        <v>17</v>
      </c>
      <c r="B150" s="11" t="s">
        <v>326</v>
      </c>
      <c r="C150" s="12" t="s">
        <v>327</v>
      </c>
      <c r="D150" s="15" t="s">
        <v>80</v>
      </c>
      <c r="E150" s="242">
        <v>54000</v>
      </c>
      <c r="F150" s="13"/>
    </row>
    <row r="151" customHeight="1" spans="1:6">
      <c r="A151" s="27">
        <v>18</v>
      </c>
      <c r="B151" s="11" t="s">
        <v>1462</v>
      </c>
      <c r="C151" s="12" t="s">
        <v>329</v>
      </c>
      <c r="D151" s="10" t="s">
        <v>344</v>
      </c>
      <c r="E151" s="242">
        <v>54000</v>
      </c>
      <c r="F151" s="13"/>
    </row>
    <row r="152" customHeight="1" spans="1:6">
      <c r="A152" s="27">
        <v>19</v>
      </c>
      <c r="B152" s="11" t="s">
        <v>330</v>
      </c>
      <c r="C152" s="12" t="s">
        <v>565</v>
      </c>
      <c r="D152" s="15" t="s">
        <v>74</v>
      </c>
      <c r="E152" s="242">
        <v>54000</v>
      </c>
      <c r="F152" s="13"/>
    </row>
    <row r="153" customHeight="1" spans="1:6">
      <c r="A153" s="27">
        <v>20</v>
      </c>
      <c r="B153" s="11" t="s">
        <v>332</v>
      </c>
      <c r="C153" s="12" t="s">
        <v>566</v>
      </c>
      <c r="D153" s="15" t="s">
        <v>99</v>
      </c>
      <c r="E153" s="242">
        <v>54000</v>
      </c>
      <c r="F153" s="13"/>
    </row>
    <row r="154" customHeight="1" spans="1:6">
      <c r="A154" s="27">
        <v>21</v>
      </c>
      <c r="B154" s="11" t="s">
        <v>334</v>
      </c>
      <c r="C154" s="12" t="s">
        <v>567</v>
      </c>
      <c r="D154" s="15" t="s">
        <v>74</v>
      </c>
      <c r="E154" s="242">
        <v>54000</v>
      </c>
      <c r="F154" s="13"/>
    </row>
    <row r="155" customHeight="1" spans="1:6">
      <c r="A155" s="27">
        <v>22</v>
      </c>
      <c r="B155" s="11" t="s">
        <v>335</v>
      </c>
      <c r="C155" s="12" t="s">
        <v>568</v>
      </c>
      <c r="D155" s="15" t="s">
        <v>99</v>
      </c>
      <c r="E155" s="242">
        <v>54000</v>
      </c>
      <c r="F155" s="13"/>
    </row>
    <row r="156" customHeight="1" spans="1:6">
      <c r="A156" s="27">
        <v>23</v>
      </c>
      <c r="B156" s="18" t="s">
        <v>337</v>
      </c>
      <c r="C156" s="12" t="s">
        <v>348</v>
      </c>
      <c r="D156" s="15" t="s">
        <v>105</v>
      </c>
      <c r="E156" s="242">
        <v>54000</v>
      </c>
      <c r="F156" s="13"/>
    </row>
    <row r="157" customHeight="1" spans="1:6">
      <c r="A157" s="27">
        <v>24</v>
      </c>
      <c r="B157" s="18" t="s">
        <v>345</v>
      </c>
      <c r="C157" s="12" t="s">
        <v>346</v>
      </c>
      <c r="D157" s="15" t="s">
        <v>276</v>
      </c>
      <c r="E157" s="242">
        <v>54000</v>
      </c>
      <c r="F157" s="13"/>
    </row>
    <row r="158" customHeight="1" spans="1:6">
      <c r="A158" s="27">
        <v>25</v>
      </c>
      <c r="B158" s="18" t="s">
        <v>347</v>
      </c>
      <c r="C158" s="12" t="s">
        <v>348</v>
      </c>
      <c r="D158" s="15" t="s">
        <v>276</v>
      </c>
      <c r="E158" s="242">
        <v>54000</v>
      </c>
      <c r="F158" s="13"/>
    </row>
    <row r="159" customHeight="1" spans="1:6">
      <c r="A159" s="27">
        <v>26</v>
      </c>
      <c r="B159" s="18" t="s">
        <v>349</v>
      </c>
      <c r="C159" s="12" t="s">
        <v>350</v>
      </c>
      <c r="D159" s="15" t="s">
        <v>111</v>
      </c>
      <c r="E159" s="242">
        <v>54000</v>
      </c>
      <c r="F159" s="13"/>
    </row>
    <row r="160" customHeight="1" spans="1:6">
      <c r="A160" s="27">
        <v>27</v>
      </c>
      <c r="B160" s="18" t="s">
        <v>351</v>
      </c>
      <c r="C160" s="12" t="s">
        <v>569</v>
      </c>
      <c r="D160" s="15" t="s">
        <v>111</v>
      </c>
      <c r="E160" s="242">
        <v>54000</v>
      </c>
      <c r="F160" s="13"/>
    </row>
    <row r="161" customHeight="1" spans="1:6">
      <c r="A161" s="27">
        <v>28</v>
      </c>
      <c r="B161" s="11" t="s">
        <v>361</v>
      </c>
      <c r="C161" s="12" t="s">
        <v>362</v>
      </c>
      <c r="D161" s="15" t="s">
        <v>381</v>
      </c>
      <c r="E161" s="242">
        <v>36000</v>
      </c>
      <c r="F161" s="13"/>
    </row>
    <row r="162" customHeight="1" spans="1:6">
      <c r="A162" s="27">
        <v>29</v>
      </c>
      <c r="B162" s="11" t="s">
        <v>364</v>
      </c>
      <c r="C162" s="12" t="s">
        <v>362</v>
      </c>
      <c r="D162" s="15" t="s">
        <v>381</v>
      </c>
      <c r="E162" s="242">
        <v>36000</v>
      </c>
      <c r="F162" s="13"/>
    </row>
    <row r="163" customHeight="1" spans="1:6">
      <c r="A163" s="27">
        <v>30</v>
      </c>
      <c r="B163" s="11" t="s">
        <v>570</v>
      </c>
      <c r="C163" s="12" t="s">
        <v>362</v>
      </c>
      <c r="D163" s="15" t="s">
        <v>381</v>
      </c>
      <c r="E163" s="242">
        <v>36000</v>
      </c>
      <c r="F163" s="13"/>
    </row>
    <row r="164" customHeight="1" spans="1:6">
      <c r="A164" s="27">
        <v>32</v>
      </c>
      <c r="B164" s="11" t="s">
        <v>365</v>
      </c>
      <c r="C164" s="12" t="s">
        <v>362</v>
      </c>
      <c r="D164" s="15" t="s">
        <v>381</v>
      </c>
      <c r="E164" s="242">
        <v>36000</v>
      </c>
      <c r="F164" s="13"/>
    </row>
    <row r="165" customHeight="1" spans="1:6">
      <c r="A165" s="27">
        <v>33</v>
      </c>
      <c r="B165" s="11" t="s">
        <v>366</v>
      </c>
      <c r="C165" s="12" t="s">
        <v>362</v>
      </c>
      <c r="D165" s="15" t="s">
        <v>381</v>
      </c>
      <c r="E165" s="242">
        <v>36000</v>
      </c>
      <c r="F165" s="13"/>
    </row>
    <row r="166" customHeight="1" spans="1:6">
      <c r="A166" s="27">
        <v>34</v>
      </c>
      <c r="B166" s="11" t="s">
        <v>367</v>
      </c>
      <c r="C166" s="12" t="s">
        <v>362</v>
      </c>
      <c r="D166" s="15" t="s">
        <v>510</v>
      </c>
      <c r="E166" s="242">
        <v>36000</v>
      </c>
      <c r="F166" s="13"/>
    </row>
    <row r="167" customHeight="1" spans="1:6">
      <c r="A167" s="27">
        <v>35</v>
      </c>
      <c r="B167" s="11" t="s">
        <v>369</v>
      </c>
      <c r="C167" s="12" t="s">
        <v>362</v>
      </c>
      <c r="D167" s="15" t="s">
        <v>510</v>
      </c>
      <c r="E167" s="242">
        <v>36000</v>
      </c>
      <c r="F167" s="13"/>
    </row>
    <row r="168" customHeight="1" spans="1:6">
      <c r="A168" s="27">
        <v>36</v>
      </c>
      <c r="B168" s="14" t="s">
        <v>370</v>
      </c>
      <c r="C168" s="12" t="s">
        <v>362</v>
      </c>
      <c r="D168" s="15" t="s">
        <v>510</v>
      </c>
      <c r="E168" s="242">
        <v>36000</v>
      </c>
      <c r="F168" s="13"/>
    </row>
    <row r="169" customHeight="1" spans="1:6">
      <c r="A169" s="27">
        <v>37</v>
      </c>
      <c r="B169" s="11" t="s">
        <v>371</v>
      </c>
      <c r="C169" s="12" t="s">
        <v>362</v>
      </c>
      <c r="D169" s="15" t="s">
        <v>510</v>
      </c>
      <c r="E169" s="242">
        <v>36000</v>
      </c>
      <c r="F169" s="13"/>
    </row>
    <row r="170" customHeight="1" spans="1:6">
      <c r="A170" s="27">
        <v>38</v>
      </c>
      <c r="B170" s="18" t="s">
        <v>372</v>
      </c>
      <c r="C170" s="12" t="s">
        <v>362</v>
      </c>
      <c r="D170" s="15" t="s">
        <v>510</v>
      </c>
      <c r="E170" s="242">
        <v>36000</v>
      </c>
      <c r="F170" s="13"/>
    </row>
    <row r="171" customHeight="1" spans="1:6">
      <c r="A171" s="27">
        <v>39</v>
      </c>
      <c r="B171" s="18" t="s">
        <v>359</v>
      </c>
      <c r="C171" s="12" t="s">
        <v>362</v>
      </c>
      <c r="D171" s="15" t="s">
        <v>510</v>
      </c>
      <c r="E171" s="242">
        <v>36000</v>
      </c>
      <c r="F171" s="13"/>
    </row>
    <row r="172" customHeight="1" spans="1:6">
      <c r="A172" s="27">
        <v>40</v>
      </c>
      <c r="B172" s="11" t="s">
        <v>373</v>
      </c>
      <c r="C172" s="12" t="s">
        <v>393</v>
      </c>
      <c r="D172" s="15" t="s">
        <v>512</v>
      </c>
      <c r="E172" s="242">
        <v>36000</v>
      </c>
      <c r="F172" s="13"/>
    </row>
    <row r="173" customHeight="1" spans="1:6">
      <c r="A173" s="27">
        <v>41</v>
      </c>
      <c r="B173" s="11" t="s">
        <v>376</v>
      </c>
      <c r="C173" s="12" t="s">
        <v>393</v>
      </c>
      <c r="D173" s="15" t="s">
        <v>512</v>
      </c>
      <c r="E173" s="242">
        <v>36000</v>
      </c>
      <c r="F173" s="13"/>
    </row>
    <row r="174" customHeight="1" spans="1:6">
      <c r="A174" s="27">
        <v>42</v>
      </c>
      <c r="B174" s="18" t="s">
        <v>377</v>
      </c>
      <c r="C174" s="12" t="s">
        <v>393</v>
      </c>
      <c r="D174" s="15" t="s">
        <v>391</v>
      </c>
      <c r="E174" s="242">
        <v>36000</v>
      </c>
      <c r="F174" s="13"/>
    </row>
    <row r="175" customHeight="1" spans="1:6">
      <c r="A175" s="27">
        <v>43</v>
      </c>
      <c r="B175" s="11" t="s">
        <v>379</v>
      </c>
      <c r="C175" s="12" t="s">
        <v>393</v>
      </c>
      <c r="D175" s="15" t="s">
        <v>408</v>
      </c>
      <c r="E175" s="242">
        <v>36000</v>
      </c>
      <c r="F175" s="13"/>
    </row>
    <row r="176" customHeight="1" spans="1:6">
      <c r="A176" s="27">
        <v>44</v>
      </c>
      <c r="B176" s="11" t="s">
        <v>382</v>
      </c>
      <c r="C176" s="12" t="s">
        <v>390</v>
      </c>
      <c r="D176" s="15" t="s">
        <v>1463</v>
      </c>
      <c r="E176" s="242">
        <v>36000</v>
      </c>
      <c r="F176" s="13"/>
    </row>
    <row r="177" customHeight="1" spans="1:6">
      <c r="A177" s="27">
        <v>45</v>
      </c>
      <c r="B177" s="11" t="s">
        <v>383</v>
      </c>
      <c r="C177" s="12" t="s">
        <v>390</v>
      </c>
      <c r="D177" s="15" t="s">
        <v>1463</v>
      </c>
      <c r="E177" s="242">
        <v>36000</v>
      </c>
      <c r="F177" s="13"/>
    </row>
    <row r="178" customHeight="1" spans="1:6">
      <c r="A178" s="27">
        <v>46</v>
      </c>
      <c r="B178" s="11" t="s">
        <v>384</v>
      </c>
      <c r="C178" s="12" t="s">
        <v>390</v>
      </c>
      <c r="D178" s="15" t="s">
        <v>1463</v>
      </c>
      <c r="E178" s="242">
        <v>36000</v>
      </c>
      <c r="F178" s="13"/>
    </row>
    <row r="179" customHeight="1" spans="1:6">
      <c r="A179" s="27">
        <v>47</v>
      </c>
      <c r="B179" s="11" t="s">
        <v>385</v>
      </c>
      <c r="C179" s="12" t="s">
        <v>390</v>
      </c>
      <c r="D179" s="15" t="s">
        <v>1463</v>
      </c>
      <c r="E179" s="242">
        <v>36000</v>
      </c>
      <c r="F179" s="13"/>
    </row>
    <row r="180" customHeight="1" spans="1:6">
      <c r="A180" s="27">
        <v>48</v>
      </c>
      <c r="B180" s="11" t="s">
        <v>386</v>
      </c>
      <c r="C180" s="12" t="s">
        <v>390</v>
      </c>
      <c r="D180" s="15" t="s">
        <v>1463</v>
      </c>
      <c r="E180" s="242">
        <v>36000</v>
      </c>
      <c r="F180" s="13"/>
    </row>
    <row r="181" customHeight="1" spans="1:6">
      <c r="A181" s="27">
        <v>49</v>
      </c>
      <c r="B181" s="18" t="s">
        <v>387</v>
      </c>
      <c r="C181" s="12" t="s">
        <v>390</v>
      </c>
      <c r="D181" s="15" t="s">
        <v>1463</v>
      </c>
      <c r="E181" s="242">
        <v>36000</v>
      </c>
      <c r="F181" s="13"/>
    </row>
    <row r="182" customHeight="1" spans="1:6">
      <c r="A182" s="27">
        <v>50</v>
      </c>
      <c r="B182" s="18" t="s">
        <v>389</v>
      </c>
      <c r="C182" s="12" t="s">
        <v>390</v>
      </c>
      <c r="D182" s="15" t="s">
        <v>1463</v>
      </c>
      <c r="E182" s="242">
        <v>36000</v>
      </c>
      <c r="F182" s="13"/>
    </row>
    <row r="183" customHeight="1" spans="1:6">
      <c r="A183" s="27">
        <v>51</v>
      </c>
      <c r="B183" s="11" t="s">
        <v>572</v>
      </c>
      <c r="C183" s="12" t="s">
        <v>393</v>
      </c>
      <c r="D183" s="15" t="s">
        <v>1463</v>
      </c>
      <c r="E183" s="242">
        <v>36000</v>
      </c>
      <c r="F183" s="13"/>
    </row>
    <row r="184" customHeight="1" spans="1:6">
      <c r="A184" s="27">
        <v>52</v>
      </c>
      <c r="B184" s="11" t="s">
        <v>392</v>
      </c>
      <c r="C184" s="12" t="s">
        <v>393</v>
      </c>
      <c r="D184" s="15" t="s">
        <v>1463</v>
      </c>
      <c r="E184" s="242">
        <v>36000</v>
      </c>
      <c r="F184" s="13"/>
    </row>
    <row r="185" customHeight="1" spans="1:6">
      <c r="A185" s="27">
        <v>53</v>
      </c>
      <c r="B185" s="18" t="s">
        <v>360</v>
      </c>
      <c r="C185" s="12" t="s">
        <v>390</v>
      </c>
      <c r="D185" s="15" t="s">
        <v>1479</v>
      </c>
      <c r="E185" s="242">
        <v>36000</v>
      </c>
      <c r="F185" s="13"/>
    </row>
    <row r="186" customHeight="1" spans="1:6">
      <c r="A186" s="27">
        <v>54</v>
      </c>
      <c r="B186" s="18" t="s">
        <v>397</v>
      </c>
      <c r="C186" s="12" t="s">
        <v>390</v>
      </c>
      <c r="D186" s="15" t="s">
        <v>513</v>
      </c>
      <c r="E186" s="242">
        <v>36000</v>
      </c>
      <c r="F186" s="13"/>
    </row>
    <row r="187" customHeight="1" spans="1:6">
      <c r="A187" s="27"/>
      <c r="B187" s="8" t="s">
        <v>120</v>
      </c>
      <c r="C187" s="28" t="s">
        <v>1622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411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1624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1041</v>
      </c>
      <c r="F4" s="24" t="s">
        <v>977</v>
      </c>
      <c r="G4" s="80" t="s">
        <v>1625</v>
      </c>
    </row>
    <row r="5" customHeight="1" spans="1:7">
      <c r="A5" s="9" t="s">
        <v>21</v>
      </c>
      <c r="B5" s="8" t="s">
        <v>22</v>
      </c>
      <c r="C5" s="8"/>
      <c r="D5" s="8"/>
      <c r="E5" s="82" t="s">
        <v>20</v>
      </c>
      <c r="F5" s="230" t="s">
        <v>20</v>
      </c>
      <c r="G5" s="82" t="s">
        <v>20</v>
      </c>
    </row>
    <row r="6" customHeight="1" spans="1:9">
      <c r="A6" s="10">
        <v>1</v>
      </c>
      <c r="B6" s="11" t="s">
        <v>23</v>
      </c>
      <c r="C6" s="12" t="s">
        <v>24</v>
      </c>
      <c r="D6" s="12" t="s">
        <v>25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1521</v>
      </c>
      <c r="C7" s="4" t="s">
        <v>1604</v>
      </c>
      <c r="D7" s="10" t="s">
        <v>35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1605</v>
      </c>
      <c r="C8" s="4" t="s">
        <v>1606</v>
      </c>
      <c r="D8" s="10" t="s">
        <v>35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26</v>
      </c>
      <c r="C9" s="12" t="s">
        <v>27</v>
      </c>
      <c r="D9" s="10" t="s">
        <v>28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29</v>
      </c>
      <c r="C10" s="4" t="s">
        <v>30</v>
      </c>
      <c r="D10" s="15" t="s">
        <v>207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225</v>
      </c>
      <c r="C11" s="4" t="s">
        <v>1523</v>
      </c>
      <c r="D11" s="16" t="s">
        <v>207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31</v>
      </c>
      <c r="C12" s="17" t="s">
        <v>32</v>
      </c>
      <c r="D12" s="16" t="s">
        <v>207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301</v>
      </c>
      <c r="C13" s="4" t="s">
        <v>832</v>
      </c>
      <c r="D13" s="16" t="s">
        <v>207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33</v>
      </c>
      <c r="C14" s="12" t="s">
        <v>835</v>
      </c>
      <c r="D14" s="15" t="s">
        <v>38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183</v>
      </c>
      <c r="C15" s="12" t="s">
        <v>851</v>
      </c>
      <c r="D15" s="10" t="s">
        <v>850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1607</v>
      </c>
      <c r="C16" s="4" t="s">
        <v>1608</v>
      </c>
      <c r="D16" s="16" t="s">
        <v>46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1524</v>
      </c>
      <c r="C17" s="4" t="s">
        <v>547</v>
      </c>
      <c r="D17" s="10" t="s">
        <v>46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1609</v>
      </c>
      <c r="C18" s="4" t="s">
        <v>1610</v>
      </c>
      <c r="D18" s="10" t="s">
        <v>46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39</v>
      </c>
      <c r="C19" s="4" t="s">
        <v>547</v>
      </c>
      <c r="D19" s="15" t="s">
        <v>46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50</v>
      </c>
      <c r="C20" s="12" t="s">
        <v>60</v>
      </c>
      <c r="D20" s="15" t="s">
        <v>215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53</v>
      </c>
      <c r="C21" s="4" t="s">
        <v>54</v>
      </c>
      <c r="D21" s="15" t="s">
        <v>503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190</v>
      </c>
      <c r="C22" s="12" t="s">
        <v>854</v>
      </c>
      <c r="D22" s="15" t="s">
        <v>69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64</v>
      </c>
      <c r="C23" s="12" t="s">
        <v>176</v>
      </c>
      <c r="D23" s="15" t="s">
        <v>131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257</v>
      </c>
      <c r="C24" s="4" t="s">
        <v>258</v>
      </c>
      <c r="D24" s="15" t="s">
        <v>131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320</v>
      </c>
      <c r="C25" s="4" t="s">
        <v>1626</v>
      </c>
      <c r="D25" s="15" t="s">
        <v>151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1611</v>
      </c>
      <c r="C26" s="12" t="s">
        <v>104</v>
      </c>
      <c r="D26" s="15" t="s">
        <v>77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485</v>
      </c>
      <c r="C27" s="4" t="s">
        <v>94</v>
      </c>
      <c r="D27" s="10" t="s">
        <v>99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78</v>
      </c>
      <c r="C28" s="12" t="s">
        <v>94</v>
      </c>
      <c r="D28" s="15" t="s">
        <v>99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1525</v>
      </c>
      <c r="C29" s="12" t="s">
        <v>1526</v>
      </c>
      <c r="D29" s="15" t="s">
        <v>99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83</v>
      </c>
      <c r="C30" s="12" t="s">
        <v>1473</v>
      </c>
      <c r="D30" s="15" t="s">
        <v>1627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234</v>
      </c>
      <c r="C31" s="17" t="s">
        <v>1628</v>
      </c>
      <c r="D31" s="15" t="s">
        <v>105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86</v>
      </c>
      <c r="C32" s="4" t="s">
        <v>1527</v>
      </c>
      <c r="D32" s="10" t="s">
        <v>105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91</v>
      </c>
      <c r="C33" s="17" t="s">
        <v>550</v>
      </c>
      <c r="D33" s="15" t="s">
        <v>99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95</v>
      </c>
      <c r="C34" s="4" t="s">
        <v>1629</v>
      </c>
      <c r="D34" s="10" t="s">
        <v>111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1454</v>
      </c>
      <c r="C35" s="12" t="s">
        <v>104</v>
      </c>
      <c r="D35" s="15" t="s">
        <v>111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1612</v>
      </c>
      <c r="C36" s="12" t="s">
        <v>104</v>
      </c>
      <c r="D36" s="15" t="s">
        <v>111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120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121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122</v>
      </c>
      <c r="C40" s="4" t="s">
        <v>123</v>
      </c>
      <c r="D40" s="10" t="s">
        <v>124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127</v>
      </c>
      <c r="C41" s="4" t="s">
        <v>1064</v>
      </c>
      <c r="D41" s="10" t="s">
        <v>276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137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837</v>
      </c>
      <c r="C45" s="4" t="s">
        <v>838</v>
      </c>
      <c r="D45" s="10" t="s">
        <v>124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839</v>
      </c>
      <c r="C46" s="4" t="s">
        <v>43</v>
      </c>
      <c r="D46" s="10" t="s">
        <v>38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138</v>
      </c>
      <c r="C47" s="4" t="s">
        <v>142</v>
      </c>
      <c r="D47" s="10" t="s">
        <v>38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141</v>
      </c>
      <c r="C48" s="4" t="s">
        <v>142</v>
      </c>
      <c r="D48" s="10" t="s">
        <v>38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143</v>
      </c>
      <c r="C49" s="4" t="s">
        <v>142</v>
      </c>
      <c r="D49" s="10" t="s">
        <v>49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144</v>
      </c>
      <c r="C50" s="4" t="s">
        <v>45</v>
      </c>
      <c r="D50" s="10" t="s">
        <v>46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145</v>
      </c>
      <c r="C51" s="4" t="s">
        <v>51</v>
      </c>
      <c r="D51" s="16" t="s">
        <v>46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1530</v>
      </c>
      <c r="C52" s="4" t="s">
        <v>51</v>
      </c>
      <c r="D52" s="10" t="s">
        <v>212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44</v>
      </c>
      <c r="C53" s="4" t="s">
        <v>852</v>
      </c>
      <c r="D53" s="10" t="s">
        <v>502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153</v>
      </c>
      <c r="C54" s="4" t="s">
        <v>150</v>
      </c>
      <c r="D54" s="10" t="s">
        <v>344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840</v>
      </c>
      <c r="C55" s="4" t="s">
        <v>150</v>
      </c>
      <c r="D55" s="10" t="s">
        <v>344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154</v>
      </c>
      <c r="C56" s="4" t="s">
        <v>150</v>
      </c>
      <c r="D56" s="10" t="s">
        <v>344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120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156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841</v>
      </c>
      <c r="C60" s="12" t="s">
        <v>158</v>
      </c>
      <c r="D60" s="15" t="s">
        <v>124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120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162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842</v>
      </c>
      <c r="C64" s="17" t="s">
        <v>843</v>
      </c>
      <c r="D64" s="10" t="s">
        <v>124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844</v>
      </c>
      <c r="C65" s="17" t="s">
        <v>845</v>
      </c>
      <c r="D65" s="15" t="s">
        <v>1461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165</v>
      </c>
      <c r="C66" s="4" t="s">
        <v>167</v>
      </c>
      <c r="D66" s="10" t="s">
        <v>502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846</v>
      </c>
      <c r="C67" s="17" t="s">
        <v>167</v>
      </c>
      <c r="D67" s="15" t="s">
        <v>215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847</v>
      </c>
      <c r="C68" s="17" t="s">
        <v>51</v>
      </c>
      <c r="D68" s="15" t="s">
        <v>46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169</v>
      </c>
      <c r="C69" s="4" t="s">
        <v>150</v>
      </c>
      <c r="D69" s="10" t="s">
        <v>1630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1538</v>
      </c>
      <c r="C70" s="17" t="s">
        <v>71</v>
      </c>
      <c r="D70" s="15" t="s">
        <v>69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171</v>
      </c>
      <c r="C71" s="17" t="s">
        <v>71</v>
      </c>
      <c r="D71" s="15" t="s">
        <v>504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172</v>
      </c>
      <c r="C72" s="17" t="s">
        <v>71</v>
      </c>
      <c r="D72" s="15" t="s">
        <v>504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173</v>
      </c>
      <c r="C73" s="4" t="s">
        <v>553</v>
      </c>
      <c r="D73" s="10" t="s">
        <v>131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1613</v>
      </c>
      <c r="C74" s="17" t="s">
        <v>150</v>
      </c>
      <c r="D74" s="10" t="s">
        <v>74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81</v>
      </c>
      <c r="C75" s="17" t="s">
        <v>68</v>
      </c>
      <c r="D75" s="10" t="s">
        <v>99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67</v>
      </c>
      <c r="C76" s="17" t="s">
        <v>68</v>
      </c>
      <c r="D76" s="10" t="s">
        <v>111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120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180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181</v>
      </c>
      <c r="C80" s="4" t="s">
        <v>182</v>
      </c>
      <c r="D80" s="10" t="s">
        <v>124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848</v>
      </c>
      <c r="C81" s="4" t="s">
        <v>849</v>
      </c>
      <c r="D81" s="15" t="s">
        <v>1461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1614</v>
      </c>
      <c r="C82" s="4" t="s">
        <v>1615</v>
      </c>
      <c r="D82" s="15" t="s">
        <v>1461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187</v>
      </c>
      <c r="C83" s="4" t="s">
        <v>1474</v>
      </c>
      <c r="D83" s="15" t="s">
        <v>502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194</v>
      </c>
      <c r="C84" s="4" t="s">
        <v>179</v>
      </c>
      <c r="D84" s="10" t="s">
        <v>74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120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202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1631</v>
      </c>
      <c r="C88" s="4" t="s">
        <v>1632</v>
      </c>
      <c r="D88" s="10" t="s">
        <v>35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205</v>
      </c>
      <c r="C89" s="4" t="s">
        <v>142</v>
      </c>
      <c r="D89" s="10" t="s">
        <v>38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203</v>
      </c>
      <c r="C90" s="4" t="s">
        <v>142</v>
      </c>
      <c r="D90" s="10" t="s">
        <v>38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163</v>
      </c>
      <c r="C91" s="4" t="s">
        <v>51</v>
      </c>
      <c r="D91" s="10" t="s">
        <v>189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208</v>
      </c>
      <c r="C92" s="4" t="s">
        <v>45</v>
      </c>
      <c r="D92" s="10" t="s">
        <v>46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209</v>
      </c>
      <c r="C93" s="4" t="s">
        <v>852</v>
      </c>
      <c r="D93" s="15" t="s">
        <v>502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210</v>
      </c>
      <c r="C94" s="12" t="s">
        <v>167</v>
      </c>
      <c r="D94" s="15" t="s">
        <v>215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211</v>
      </c>
      <c r="C95" s="12" t="s">
        <v>167</v>
      </c>
      <c r="D95" s="15" t="s">
        <v>215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213</v>
      </c>
      <c r="C96" s="17" t="s">
        <v>71</v>
      </c>
      <c r="D96" s="15" t="s">
        <v>504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217</v>
      </c>
      <c r="C97" s="4" t="s">
        <v>218</v>
      </c>
      <c r="D97" s="10" t="s">
        <v>80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221</v>
      </c>
      <c r="C98" s="17" t="s">
        <v>222</v>
      </c>
      <c r="D98" s="15" t="s">
        <v>111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120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224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833</v>
      </c>
      <c r="C102" s="10" t="s">
        <v>834</v>
      </c>
      <c r="D102" s="15" t="s">
        <v>207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36</v>
      </c>
      <c r="C103" s="4" t="s">
        <v>228</v>
      </c>
      <c r="D103" s="10" t="s">
        <v>46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1633</v>
      </c>
      <c r="C104" s="4" t="s">
        <v>1634</v>
      </c>
      <c r="D104" s="15" t="s">
        <v>215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233</v>
      </c>
      <c r="C105" s="4" t="s">
        <v>555</v>
      </c>
      <c r="D105" s="15" t="s">
        <v>131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120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237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556</v>
      </c>
      <c r="C109" s="12" t="s">
        <v>239</v>
      </c>
      <c r="D109" s="15" t="s">
        <v>124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240</v>
      </c>
      <c r="C110" s="4" t="s">
        <v>241</v>
      </c>
      <c r="D110" s="16" t="s">
        <v>207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242</v>
      </c>
      <c r="C111" s="4" t="s">
        <v>557</v>
      </c>
      <c r="D111" s="10" t="s">
        <v>55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244</v>
      </c>
      <c r="C112" s="4" t="s">
        <v>557</v>
      </c>
      <c r="D112" s="10" t="s">
        <v>55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247</v>
      </c>
      <c r="C113" s="4" t="s">
        <v>248</v>
      </c>
      <c r="D113" s="15" t="s">
        <v>223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250</v>
      </c>
      <c r="C114" s="4" t="s">
        <v>248</v>
      </c>
      <c r="D114" s="10" t="s">
        <v>105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251</v>
      </c>
      <c r="C115" s="4" t="s">
        <v>248</v>
      </c>
      <c r="D115" s="15" t="s">
        <v>111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120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279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280</v>
      </c>
      <c r="C119" s="12" t="s">
        <v>281</v>
      </c>
      <c r="D119" s="15" t="s">
        <v>124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1635</v>
      </c>
      <c r="B120" s="11" t="s">
        <v>1636</v>
      </c>
      <c r="C120" s="12" t="s">
        <v>1637</v>
      </c>
      <c r="D120" s="15" t="s">
        <v>35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282</v>
      </c>
      <c r="C121" s="12" t="s">
        <v>559</v>
      </c>
      <c r="D121" s="15" t="s">
        <v>38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284</v>
      </c>
      <c r="C122" s="12" t="s">
        <v>559</v>
      </c>
      <c r="D122" s="15" t="s">
        <v>38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855</v>
      </c>
      <c r="C123" s="12" t="s">
        <v>559</v>
      </c>
      <c r="D123" s="15" t="s">
        <v>41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287</v>
      </c>
      <c r="C124" s="12" t="s">
        <v>289</v>
      </c>
      <c r="D124" s="15" t="s">
        <v>212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288</v>
      </c>
      <c r="C125" s="12" t="s">
        <v>560</v>
      </c>
      <c r="D125" s="15" t="s">
        <v>502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290</v>
      </c>
      <c r="C126" s="12" t="s">
        <v>1476</v>
      </c>
      <c r="D126" s="15" t="s">
        <v>502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1638</v>
      </c>
      <c r="C127" s="12" t="s">
        <v>1639</v>
      </c>
      <c r="D127" s="15" t="s">
        <v>58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293</v>
      </c>
      <c r="C128" s="12" t="s">
        <v>561</v>
      </c>
      <c r="D128" s="10" t="s">
        <v>99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295</v>
      </c>
      <c r="C129" s="12" t="s">
        <v>296</v>
      </c>
      <c r="D129" s="15" t="s">
        <v>111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120</v>
      </c>
      <c r="C130" s="26" t="s">
        <v>826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300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856</v>
      </c>
      <c r="C133" s="12" t="s">
        <v>857</v>
      </c>
      <c r="D133" s="15" t="s">
        <v>124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858</v>
      </c>
      <c r="C134" s="12" t="s">
        <v>859</v>
      </c>
      <c r="D134" s="15" t="s">
        <v>35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304</v>
      </c>
      <c r="C135" s="4" t="s">
        <v>305</v>
      </c>
      <c r="D135" s="16" t="s">
        <v>207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306</v>
      </c>
      <c r="C136" s="12" t="s">
        <v>860</v>
      </c>
      <c r="D136" s="15" t="s">
        <v>46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308</v>
      </c>
      <c r="C137" s="4" t="s">
        <v>312</v>
      </c>
      <c r="D137" s="15" t="s">
        <v>46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227</v>
      </c>
      <c r="C138" s="4" t="s">
        <v>862</v>
      </c>
      <c r="D138" s="15" t="s">
        <v>502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229</v>
      </c>
      <c r="C139" s="12" t="s">
        <v>861</v>
      </c>
      <c r="D139" s="15" t="s">
        <v>69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313</v>
      </c>
      <c r="C140" s="12" t="s">
        <v>861</v>
      </c>
      <c r="D140" s="15" t="s">
        <v>69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314</v>
      </c>
      <c r="C141" s="4" t="s">
        <v>862</v>
      </c>
      <c r="D141" s="15" t="s">
        <v>69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316</v>
      </c>
      <c r="C142" s="12" t="s">
        <v>863</v>
      </c>
      <c r="D142" s="15" t="s">
        <v>131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318</v>
      </c>
      <c r="C143" s="12" t="s">
        <v>1478</v>
      </c>
      <c r="D143" s="15" t="s">
        <v>151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61</v>
      </c>
      <c r="C144" s="12" t="s">
        <v>863</v>
      </c>
      <c r="D144" s="15" t="s">
        <v>69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322</v>
      </c>
      <c r="C145" s="4" t="s">
        <v>864</v>
      </c>
      <c r="D145" s="15" t="s">
        <v>74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323</v>
      </c>
      <c r="C146" s="4" t="s">
        <v>864</v>
      </c>
      <c r="D146" s="15" t="s">
        <v>77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325</v>
      </c>
      <c r="C147" s="4" t="s">
        <v>864</v>
      </c>
      <c r="D147" s="15" t="s">
        <v>77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326</v>
      </c>
      <c r="C148" s="12" t="s">
        <v>327</v>
      </c>
      <c r="D148" s="15" t="s">
        <v>80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1462</v>
      </c>
      <c r="C149" s="12" t="s">
        <v>329</v>
      </c>
      <c r="D149" s="10" t="s">
        <v>344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330</v>
      </c>
      <c r="C150" s="12" t="s">
        <v>565</v>
      </c>
      <c r="D150" s="15" t="s">
        <v>74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332</v>
      </c>
      <c r="C151" s="12" t="s">
        <v>566</v>
      </c>
      <c r="D151" s="15" t="s">
        <v>99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334</v>
      </c>
      <c r="C152" s="12" t="s">
        <v>567</v>
      </c>
      <c r="D152" s="15" t="s">
        <v>74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335</v>
      </c>
      <c r="C153" s="12" t="s">
        <v>568</v>
      </c>
      <c r="D153" s="15" t="s">
        <v>99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337</v>
      </c>
      <c r="C154" s="12" t="s">
        <v>348</v>
      </c>
      <c r="D154" s="15" t="s">
        <v>1627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1640</v>
      </c>
      <c r="C155" s="12" t="s">
        <v>346</v>
      </c>
      <c r="D155" s="15" t="s">
        <v>111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345</v>
      </c>
      <c r="C156" s="12" t="s">
        <v>346</v>
      </c>
      <c r="D156" s="15" t="s">
        <v>276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347</v>
      </c>
      <c r="C157" s="12" t="s">
        <v>348</v>
      </c>
      <c r="D157" s="15" t="s">
        <v>276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349</v>
      </c>
      <c r="C158" s="12" t="s">
        <v>350</v>
      </c>
      <c r="D158" s="15" t="s">
        <v>111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351</v>
      </c>
      <c r="C159" s="12" t="s">
        <v>569</v>
      </c>
      <c r="D159" s="15" t="s">
        <v>111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361</v>
      </c>
      <c r="C160" s="12" t="s">
        <v>362</v>
      </c>
      <c r="D160" s="15" t="s">
        <v>381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364</v>
      </c>
      <c r="C161" s="12" t="s">
        <v>362</v>
      </c>
      <c r="D161" s="15" t="s">
        <v>381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570</v>
      </c>
      <c r="C162" s="12" t="s">
        <v>362</v>
      </c>
      <c r="D162" s="15" t="s">
        <v>381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1185</v>
      </c>
      <c r="C163" s="12" t="s">
        <v>362</v>
      </c>
      <c r="D163" s="15" t="s">
        <v>381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365</v>
      </c>
      <c r="C164" s="12" t="s">
        <v>362</v>
      </c>
      <c r="D164" s="15" t="s">
        <v>381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366</v>
      </c>
      <c r="C165" s="12" t="s">
        <v>362</v>
      </c>
      <c r="D165" s="15" t="s">
        <v>381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367</v>
      </c>
      <c r="C166" s="12" t="s">
        <v>362</v>
      </c>
      <c r="D166" s="15" t="s">
        <v>510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369</v>
      </c>
      <c r="C167" s="12" t="s">
        <v>362</v>
      </c>
      <c r="D167" s="15" t="s">
        <v>510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1619</v>
      </c>
      <c r="C168" s="12" t="s">
        <v>362</v>
      </c>
      <c r="D168" s="15" t="s">
        <v>510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370</v>
      </c>
      <c r="C169" s="12" t="s">
        <v>362</v>
      </c>
      <c r="D169" s="15" t="s">
        <v>510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371</v>
      </c>
      <c r="C170" s="12" t="s">
        <v>362</v>
      </c>
      <c r="D170" s="15" t="s">
        <v>510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372</v>
      </c>
      <c r="C171" s="12" t="s">
        <v>362</v>
      </c>
      <c r="D171" s="15" t="s">
        <v>510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359</v>
      </c>
      <c r="C172" s="12" t="s">
        <v>362</v>
      </c>
      <c r="D172" s="15" t="s">
        <v>510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373</v>
      </c>
      <c r="C173" s="12" t="s">
        <v>393</v>
      </c>
      <c r="D173" s="15" t="s">
        <v>512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376</v>
      </c>
      <c r="C174" s="12" t="s">
        <v>393</v>
      </c>
      <c r="D174" s="15" t="s">
        <v>512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377</v>
      </c>
      <c r="C175" s="12" t="s">
        <v>393</v>
      </c>
      <c r="D175" s="15" t="s">
        <v>391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379</v>
      </c>
      <c r="C176" s="12" t="s">
        <v>393</v>
      </c>
      <c r="D176" s="15" t="s">
        <v>408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382</v>
      </c>
      <c r="C177" s="12" t="s">
        <v>390</v>
      </c>
      <c r="D177" s="15" t="s">
        <v>1463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383</v>
      </c>
      <c r="C178" s="12" t="s">
        <v>390</v>
      </c>
      <c r="D178" s="15" t="s">
        <v>1463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384</v>
      </c>
      <c r="C179" s="12" t="s">
        <v>390</v>
      </c>
      <c r="D179" s="15" t="s">
        <v>1463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385</v>
      </c>
      <c r="C180" s="12" t="s">
        <v>390</v>
      </c>
      <c r="D180" s="15" t="s">
        <v>1463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386</v>
      </c>
      <c r="C181" s="12" t="s">
        <v>390</v>
      </c>
      <c r="D181" s="15" t="s">
        <v>1463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387</v>
      </c>
      <c r="C182" s="12" t="s">
        <v>390</v>
      </c>
      <c r="D182" s="15" t="s">
        <v>1463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389</v>
      </c>
      <c r="C183" s="12" t="s">
        <v>390</v>
      </c>
      <c r="D183" s="15" t="s">
        <v>1463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572</v>
      </c>
      <c r="C184" s="12" t="s">
        <v>393</v>
      </c>
      <c r="D184" s="15" t="s">
        <v>1463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392</v>
      </c>
      <c r="C185" s="12" t="s">
        <v>393</v>
      </c>
      <c r="D185" s="15" t="s">
        <v>1463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360</v>
      </c>
      <c r="C186" s="12" t="s">
        <v>390</v>
      </c>
      <c r="D186" s="15" t="s">
        <v>1479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397</v>
      </c>
      <c r="C187" s="12" t="s">
        <v>390</v>
      </c>
      <c r="D187" s="15" t="s">
        <v>513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120</v>
      </c>
      <c r="C188" s="28" t="s">
        <v>1620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411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1624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1641</v>
      </c>
      <c r="G4" s="218" t="s">
        <v>498</v>
      </c>
      <c r="H4" s="24" t="s">
        <v>1043</v>
      </c>
    </row>
    <row r="5" customHeight="1" spans="1:8">
      <c r="A5" s="9" t="s">
        <v>21</v>
      </c>
      <c r="B5" s="8" t="s">
        <v>22</v>
      </c>
      <c r="C5" s="8"/>
      <c r="D5" s="8"/>
      <c r="E5" s="82" t="s">
        <v>20</v>
      </c>
      <c r="F5" s="82" t="s">
        <v>20</v>
      </c>
      <c r="G5" s="82" t="s">
        <v>20</v>
      </c>
      <c r="H5" s="82" t="s">
        <v>20</v>
      </c>
    </row>
    <row r="6" customHeight="1" spans="1:9">
      <c r="A6" s="10">
        <v>1</v>
      </c>
      <c r="B6" s="11" t="s">
        <v>23</v>
      </c>
      <c r="C6" s="12" t="s">
        <v>24</v>
      </c>
      <c r="D6" s="12" t="s">
        <v>25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1521</v>
      </c>
      <c r="C7" s="4" t="s">
        <v>1604</v>
      </c>
      <c r="D7" s="10" t="s">
        <v>35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1605</v>
      </c>
      <c r="C8" s="4" t="s">
        <v>1606</v>
      </c>
      <c r="D8" s="10" t="s">
        <v>35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26</v>
      </c>
      <c r="C9" s="12" t="s">
        <v>27</v>
      </c>
      <c r="D9" s="10" t="s">
        <v>28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29</v>
      </c>
      <c r="C10" s="4" t="s">
        <v>30</v>
      </c>
      <c r="D10" s="15" t="s">
        <v>207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225</v>
      </c>
      <c r="C11" s="4" t="s">
        <v>1523</v>
      </c>
      <c r="D11" s="16" t="s">
        <v>207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31</v>
      </c>
      <c r="C12" s="17" t="s">
        <v>32</v>
      </c>
      <c r="D12" s="16" t="s">
        <v>207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301</v>
      </c>
      <c r="C13" s="4" t="s">
        <v>832</v>
      </c>
      <c r="D13" s="16" t="s">
        <v>207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33</v>
      </c>
      <c r="C14" s="12" t="s">
        <v>835</v>
      </c>
      <c r="D14" s="15" t="s">
        <v>38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183</v>
      </c>
      <c r="C15" s="12" t="s">
        <v>851</v>
      </c>
      <c r="D15" s="10" t="s">
        <v>850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1607</v>
      </c>
      <c r="C16" s="4" t="s">
        <v>1608</v>
      </c>
      <c r="D16" s="16" t="s">
        <v>46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1524</v>
      </c>
      <c r="C17" s="4" t="s">
        <v>547</v>
      </c>
      <c r="D17" s="10" t="s">
        <v>46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1609</v>
      </c>
      <c r="C18" s="4" t="s">
        <v>1610</v>
      </c>
      <c r="D18" s="10" t="s">
        <v>46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39</v>
      </c>
      <c r="C19" s="4" t="s">
        <v>547</v>
      </c>
      <c r="D19" s="15" t="s">
        <v>46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50</v>
      </c>
      <c r="C20" s="12" t="s">
        <v>60</v>
      </c>
      <c r="D20" s="15" t="s">
        <v>215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53</v>
      </c>
      <c r="C21" s="4" t="s">
        <v>54</v>
      </c>
      <c r="D21" s="15" t="s">
        <v>503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190</v>
      </c>
      <c r="C22" s="12" t="s">
        <v>854</v>
      </c>
      <c r="D22" s="15" t="s">
        <v>69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64</v>
      </c>
      <c r="C23" s="12" t="s">
        <v>176</v>
      </c>
      <c r="D23" s="15" t="s">
        <v>131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257</v>
      </c>
      <c r="C24" s="4" t="s">
        <v>258</v>
      </c>
      <c r="D24" s="15" t="s">
        <v>131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320</v>
      </c>
      <c r="C25" s="4" t="s">
        <v>1626</v>
      </c>
      <c r="D25" s="15" t="s">
        <v>151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1611</v>
      </c>
      <c r="C26" s="12" t="s">
        <v>104</v>
      </c>
      <c r="D26" s="15" t="s">
        <v>77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485</v>
      </c>
      <c r="C27" s="4" t="s">
        <v>94</v>
      </c>
      <c r="D27" s="10" t="s">
        <v>99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78</v>
      </c>
      <c r="C28" s="12" t="s">
        <v>94</v>
      </c>
      <c r="D28" s="15" t="s">
        <v>99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1525</v>
      </c>
      <c r="C29" s="12" t="s">
        <v>1526</v>
      </c>
      <c r="D29" s="15" t="s">
        <v>99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83</v>
      </c>
      <c r="C30" s="12" t="s">
        <v>1473</v>
      </c>
      <c r="D30" s="15" t="s">
        <v>1627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234</v>
      </c>
      <c r="C31" s="17" t="s">
        <v>1628</v>
      </c>
      <c r="D31" s="15" t="s">
        <v>105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86</v>
      </c>
      <c r="C32" s="4" t="s">
        <v>1527</v>
      </c>
      <c r="D32" s="10" t="s">
        <v>105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91</v>
      </c>
      <c r="C33" s="17" t="s">
        <v>550</v>
      </c>
      <c r="D33" s="15" t="s">
        <v>99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95</v>
      </c>
      <c r="C34" s="4" t="s">
        <v>1629</v>
      </c>
      <c r="D34" s="10" t="s">
        <v>111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1454</v>
      </c>
      <c r="C35" s="12" t="s">
        <v>104</v>
      </c>
      <c r="D35" s="15" t="s">
        <v>111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1612</v>
      </c>
      <c r="C36" s="12" t="s">
        <v>104</v>
      </c>
      <c r="D36" s="15" t="s">
        <v>111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120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121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122</v>
      </c>
      <c r="C40" s="4" t="s">
        <v>123</v>
      </c>
      <c r="D40" s="10" t="s">
        <v>124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127</v>
      </c>
      <c r="C41" s="4" t="s">
        <v>1064</v>
      </c>
      <c r="D41" s="10" t="s">
        <v>276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137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837</v>
      </c>
      <c r="C45" s="4" t="s">
        <v>838</v>
      </c>
      <c r="D45" s="10" t="s">
        <v>124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839</v>
      </c>
      <c r="C46" s="4" t="s">
        <v>43</v>
      </c>
      <c r="D46" s="10" t="s">
        <v>38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138</v>
      </c>
      <c r="C47" s="4" t="s">
        <v>142</v>
      </c>
      <c r="D47" s="10" t="s">
        <v>38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141</v>
      </c>
      <c r="C48" s="4" t="s">
        <v>142</v>
      </c>
      <c r="D48" s="10" t="s">
        <v>38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143</v>
      </c>
      <c r="C49" s="4" t="s">
        <v>142</v>
      </c>
      <c r="D49" s="10" t="s">
        <v>49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144</v>
      </c>
      <c r="C50" s="4" t="s">
        <v>45</v>
      </c>
      <c r="D50" s="10" t="s">
        <v>46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145</v>
      </c>
      <c r="C51" s="4" t="s">
        <v>51</v>
      </c>
      <c r="D51" s="16" t="s">
        <v>46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1530</v>
      </c>
      <c r="C52" s="4" t="s">
        <v>51</v>
      </c>
      <c r="D52" s="10" t="s">
        <v>212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44</v>
      </c>
      <c r="C53" s="4" t="s">
        <v>852</v>
      </c>
      <c r="D53" s="10" t="s">
        <v>502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153</v>
      </c>
      <c r="C54" s="4" t="s">
        <v>150</v>
      </c>
      <c r="D54" s="10" t="s">
        <v>344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840</v>
      </c>
      <c r="C55" s="4" t="s">
        <v>150</v>
      </c>
      <c r="D55" s="10" t="s">
        <v>344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154</v>
      </c>
      <c r="C56" s="4" t="s">
        <v>150</v>
      </c>
      <c r="D56" s="10" t="s">
        <v>344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120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156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841</v>
      </c>
      <c r="C60" s="12" t="s">
        <v>158</v>
      </c>
      <c r="D60" s="15" t="s">
        <v>124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120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162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842</v>
      </c>
      <c r="C64" s="17" t="s">
        <v>843</v>
      </c>
      <c r="D64" s="10" t="s">
        <v>124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844</v>
      </c>
      <c r="C65" s="17" t="s">
        <v>845</v>
      </c>
      <c r="D65" s="15" t="s">
        <v>1461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165</v>
      </c>
      <c r="C66" s="4" t="s">
        <v>167</v>
      </c>
      <c r="D66" s="10" t="s">
        <v>502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846</v>
      </c>
      <c r="C67" s="17" t="s">
        <v>167</v>
      </c>
      <c r="D67" s="15" t="s">
        <v>215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847</v>
      </c>
      <c r="C68" s="17" t="s">
        <v>51</v>
      </c>
      <c r="D68" s="15" t="s">
        <v>46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169</v>
      </c>
      <c r="C69" s="4" t="s">
        <v>150</v>
      </c>
      <c r="D69" s="10" t="s">
        <v>1630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1538</v>
      </c>
      <c r="C70" s="17" t="s">
        <v>71</v>
      </c>
      <c r="D70" s="15" t="s">
        <v>69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171</v>
      </c>
      <c r="C71" s="17" t="s">
        <v>71</v>
      </c>
      <c r="D71" s="15" t="s">
        <v>504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172</v>
      </c>
      <c r="C72" s="17" t="s">
        <v>71</v>
      </c>
      <c r="D72" s="15" t="s">
        <v>504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173</v>
      </c>
      <c r="C73" s="4" t="s">
        <v>553</v>
      </c>
      <c r="D73" s="10" t="s">
        <v>131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1613</v>
      </c>
      <c r="C74" s="17" t="s">
        <v>150</v>
      </c>
      <c r="D74" s="10" t="s">
        <v>74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81</v>
      </c>
      <c r="C75" s="17" t="s">
        <v>68</v>
      </c>
      <c r="D75" s="10" t="s">
        <v>99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67</v>
      </c>
      <c r="C76" s="17" t="s">
        <v>68</v>
      </c>
      <c r="D76" s="10" t="s">
        <v>111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120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180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181</v>
      </c>
      <c r="C80" s="4" t="s">
        <v>182</v>
      </c>
      <c r="D80" s="10" t="s">
        <v>124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848</v>
      </c>
      <c r="C81" s="4" t="s">
        <v>849</v>
      </c>
      <c r="D81" s="15" t="s">
        <v>1461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1614</v>
      </c>
      <c r="C82" s="4" t="s">
        <v>1615</v>
      </c>
      <c r="D82" s="15" t="s">
        <v>1461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187</v>
      </c>
      <c r="C83" s="4" t="s">
        <v>1474</v>
      </c>
      <c r="D83" s="15" t="s">
        <v>502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194</v>
      </c>
      <c r="C84" s="4" t="s">
        <v>179</v>
      </c>
      <c r="D84" s="10" t="s">
        <v>74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120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202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1631</v>
      </c>
      <c r="C88" s="4" t="s">
        <v>1632</v>
      </c>
      <c r="D88" s="10" t="s">
        <v>35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205</v>
      </c>
      <c r="C89" s="4" t="s">
        <v>142</v>
      </c>
      <c r="D89" s="10" t="s">
        <v>38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203</v>
      </c>
      <c r="C90" s="4" t="s">
        <v>142</v>
      </c>
      <c r="D90" s="10" t="s">
        <v>38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163</v>
      </c>
      <c r="C91" s="4" t="s">
        <v>51</v>
      </c>
      <c r="D91" s="10" t="s">
        <v>189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208</v>
      </c>
      <c r="C92" s="4" t="s">
        <v>45</v>
      </c>
      <c r="D92" s="10" t="s">
        <v>46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209</v>
      </c>
      <c r="C93" s="4" t="s">
        <v>852</v>
      </c>
      <c r="D93" s="15" t="s">
        <v>502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210</v>
      </c>
      <c r="C94" s="12" t="s">
        <v>167</v>
      </c>
      <c r="D94" s="15" t="s">
        <v>215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211</v>
      </c>
      <c r="C95" s="12" t="s">
        <v>167</v>
      </c>
      <c r="D95" s="15" t="s">
        <v>215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213</v>
      </c>
      <c r="C96" s="17" t="s">
        <v>71</v>
      </c>
      <c r="D96" s="15" t="s">
        <v>504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217</v>
      </c>
      <c r="C97" s="4" t="s">
        <v>218</v>
      </c>
      <c r="D97" s="10" t="s">
        <v>80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221</v>
      </c>
      <c r="C98" s="17" t="s">
        <v>222</v>
      </c>
      <c r="D98" s="15" t="s">
        <v>111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120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224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833</v>
      </c>
      <c r="C102" s="10" t="s">
        <v>834</v>
      </c>
      <c r="D102" s="15" t="s">
        <v>207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36</v>
      </c>
      <c r="C103" s="4" t="s">
        <v>228</v>
      </c>
      <c r="D103" s="10" t="s">
        <v>46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1633</v>
      </c>
      <c r="C104" s="4" t="s">
        <v>1634</v>
      </c>
      <c r="D104" s="15" t="s">
        <v>215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233</v>
      </c>
      <c r="C105" s="4" t="s">
        <v>555</v>
      </c>
      <c r="D105" s="15" t="s">
        <v>131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120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237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556</v>
      </c>
      <c r="C109" s="12" t="s">
        <v>239</v>
      </c>
      <c r="D109" s="15" t="s">
        <v>124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240</v>
      </c>
      <c r="C110" s="4" t="s">
        <v>241</v>
      </c>
      <c r="D110" s="16" t="s">
        <v>207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242</v>
      </c>
      <c r="C111" s="4" t="s">
        <v>557</v>
      </c>
      <c r="D111" s="10" t="s">
        <v>55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244</v>
      </c>
      <c r="C112" s="4" t="s">
        <v>557</v>
      </c>
      <c r="D112" s="10" t="s">
        <v>55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247</v>
      </c>
      <c r="C113" s="4" t="s">
        <v>248</v>
      </c>
      <c r="D113" s="15" t="s">
        <v>223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250</v>
      </c>
      <c r="C114" s="4" t="s">
        <v>248</v>
      </c>
      <c r="D114" s="10" t="s">
        <v>105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251</v>
      </c>
      <c r="C115" s="4" t="s">
        <v>248</v>
      </c>
      <c r="D115" s="15" t="s">
        <v>111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120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279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280</v>
      </c>
      <c r="C119" s="12" t="s">
        <v>281</v>
      </c>
      <c r="D119" s="15" t="s">
        <v>124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1635</v>
      </c>
      <c r="B120" s="11" t="s">
        <v>1636</v>
      </c>
      <c r="C120" s="12" t="s">
        <v>1637</v>
      </c>
      <c r="D120" s="15" t="s">
        <v>35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282</v>
      </c>
      <c r="C121" s="12" t="s">
        <v>559</v>
      </c>
      <c r="D121" s="15" t="s">
        <v>38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284</v>
      </c>
      <c r="C122" s="12" t="s">
        <v>559</v>
      </c>
      <c r="D122" s="15" t="s">
        <v>38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855</v>
      </c>
      <c r="C123" s="12" t="s">
        <v>559</v>
      </c>
      <c r="D123" s="15" t="s">
        <v>41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287</v>
      </c>
      <c r="C124" s="12" t="s">
        <v>289</v>
      </c>
      <c r="D124" s="15" t="s">
        <v>212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288</v>
      </c>
      <c r="C125" s="12" t="s">
        <v>560</v>
      </c>
      <c r="D125" s="15" t="s">
        <v>502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290</v>
      </c>
      <c r="C126" s="12" t="s">
        <v>1476</v>
      </c>
      <c r="D126" s="15" t="s">
        <v>502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1638</v>
      </c>
      <c r="C127" s="12" t="s">
        <v>1639</v>
      </c>
      <c r="D127" s="15" t="s">
        <v>58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293</v>
      </c>
      <c r="C128" s="12" t="s">
        <v>561</v>
      </c>
      <c r="D128" s="10" t="s">
        <v>99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295</v>
      </c>
      <c r="C129" s="12" t="s">
        <v>296</v>
      </c>
      <c r="D129" s="15" t="s">
        <v>111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120</v>
      </c>
      <c r="C130" s="26" t="s">
        <v>826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300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856</v>
      </c>
      <c r="C133" s="12" t="s">
        <v>857</v>
      </c>
      <c r="D133" s="15" t="s">
        <v>124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858</v>
      </c>
      <c r="C134" s="12" t="s">
        <v>859</v>
      </c>
      <c r="D134" s="15" t="s">
        <v>35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304</v>
      </c>
      <c r="C135" s="4" t="s">
        <v>305</v>
      </c>
      <c r="D135" s="16" t="s">
        <v>207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306</v>
      </c>
      <c r="C136" s="12" t="s">
        <v>860</v>
      </c>
      <c r="D136" s="15" t="s">
        <v>46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308</v>
      </c>
      <c r="C137" s="4" t="s">
        <v>312</v>
      </c>
      <c r="D137" s="15" t="s">
        <v>46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227</v>
      </c>
      <c r="C138" s="4" t="s">
        <v>862</v>
      </c>
      <c r="D138" s="15" t="s">
        <v>502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229</v>
      </c>
      <c r="C139" s="12" t="s">
        <v>861</v>
      </c>
      <c r="D139" s="15" t="s">
        <v>69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313</v>
      </c>
      <c r="C140" s="12" t="s">
        <v>861</v>
      </c>
      <c r="D140" s="15" t="s">
        <v>69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314</v>
      </c>
      <c r="C141" s="4" t="s">
        <v>862</v>
      </c>
      <c r="D141" s="15" t="s">
        <v>69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316</v>
      </c>
      <c r="C142" s="12" t="s">
        <v>863</v>
      </c>
      <c r="D142" s="15" t="s">
        <v>131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318</v>
      </c>
      <c r="C143" s="12" t="s">
        <v>1478</v>
      </c>
      <c r="D143" s="15" t="s">
        <v>151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61</v>
      </c>
      <c r="C144" s="12" t="s">
        <v>863</v>
      </c>
      <c r="D144" s="15" t="s">
        <v>69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322</v>
      </c>
      <c r="C145" s="4" t="s">
        <v>864</v>
      </c>
      <c r="D145" s="15" t="s">
        <v>74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323</v>
      </c>
      <c r="C146" s="4" t="s">
        <v>864</v>
      </c>
      <c r="D146" s="15" t="s">
        <v>77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325</v>
      </c>
      <c r="C147" s="4" t="s">
        <v>864</v>
      </c>
      <c r="D147" s="15" t="s">
        <v>77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326</v>
      </c>
      <c r="C148" s="12" t="s">
        <v>327</v>
      </c>
      <c r="D148" s="15" t="s">
        <v>80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1462</v>
      </c>
      <c r="C149" s="12" t="s">
        <v>329</v>
      </c>
      <c r="D149" s="10" t="s">
        <v>344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330</v>
      </c>
      <c r="C150" s="12" t="s">
        <v>565</v>
      </c>
      <c r="D150" s="15" t="s">
        <v>74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332</v>
      </c>
      <c r="C151" s="12" t="s">
        <v>566</v>
      </c>
      <c r="D151" s="15" t="s">
        <v>99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334</v>
      </c>
      <c r="C152" s="12" t="s">
        <v>567</v>
      </c>
      <c r="D152" s="15" t="s">
        <v>74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335</v>
      </c>
      <c r="C153" s="12" t="s">
        <v>568</v>
      </c>
      <c r="D153" s="15" t="s">
        <v>99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337</v>
      </c>
      <c r="C154" s="12" t="s">
        <v>348</v>
      </c>
      <c r="D154" s="15" t="s">
        <v>1627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1640</v>
      </c>
      <c r="C155" s="12" t="s">
        <v>346</v>
      </c>
      <c r="D155" s="15" t="s">
        <v>111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345</v>
      </c>
      <c r="C156" s="12" t="s">
        <v>346</v>
      </c>
      <c r="D156" s="15" t="s">
        <v>276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347</v>
      </c>
      <c r="C157" s="12" t="s">
        <v>348</v>
      </c>
      <c r="D157" s="15" t="s">
        <v>276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349</v>
      </c>
      <c r="C158" s="12" t="s">
        <v>350</v>
      </c>
      <c r="D158" s="15" t="s">
        <v>111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351</v>
      </c>
      <c r="C159" s="12" t="s">
        <v>569</v>
      </c>
      <c r="D159" s="15" t="s">
        <v>111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361</v>
      </c>
      <c r="C160" s="12" t="s">
        <v>362</v>
      </c>
      <c r="D160" s="15" t="s">
        <v>381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364</v>
      </c>
      <c r="C161" s="12" t="s">
        <v>362</v>
      </c>
      <c r="D161" s="15" t="s">
        <v>381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570</v>
      </c>
      <c r="C162" s="12" t="s">
        <v>362</v>
      </c>
      <c r="D162" s="15" t="s">
        <v>381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1185</v>
      </c>
      <c r="C163" s="12" t="s">
        <v>362</v>
      </c>
      <c r="D163" s="15" t="s">
        <v>381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365</v>
      </c>
      <c r="C164" s="12" t="s">
        <v>362</v>
      </c>
      <c r="D164" s="15" t="s">
        <v>381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366</v>
      </c>
      <c r="C165" s="12" t="s">
        <v>362</v>
      </c>
      <c r="D165" s="15" t="s">
        <v>381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367</v>
      </c>
      <c r="C166" s="12" t="s">
        <v>362</v>
      </c>
      <c r="D166" s="15" t="s">
        <v>510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369</v>
      </c>
      <c r="C167" s="12" t="s">
        <v>362</v>
      </c>
      <c r="D167" s="15" t="s">
        <v>510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1619</v>
      </c>
      <c r="C168" s="12" t="s">
        <v>362</v>
      </c>
      <c r="D168" s="15" t="s">
        <v>510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370</v>
      </c>
      <c r="C169" s="12" t="s">
        <v>362</v>
      </c>
      <c r="D169" s="15" t="s">
        <v>510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371</v>
      </c>
      <c r="C170" s="12" t="s">
        <v>362</v>
      </c>
      <c r="D170" s="15" t="s">
        <v>510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372</v>
      </c>
      <c r="C171" s="12" t="s">
        <v>362</v>
      </c>
      <c r="D171" s="15" t="s">
        <v>510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359</v>
      </c>
      <c r="C172" s="12" t="s">
        <v>362</v>
      </c>
      <c r="D172" s="15" t="s">
        <v>510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373</v>
      </c>
      <c r="C173" s="12" t="s">
        <v>393</v>
      </c>
      <c r="D173" s="15" t="s">
        <v>512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376</v>
      </c>
      <c r="C174" s="12" t="s">
        <v>393</v>
      </c>
      <c r="D174" s="15" t="s">
        <v>512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377</v>
      </c>
      <c r="C175" s="12" t="s">
        <v>393</v>
      </c>
      <c r="D175" s="15" t="s">
        <v>391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379</v>
      </c>
      <c r="C176" s="12" t="s">
        <v>393</v>
      </c>
      <c r="D176" s="15" t="s">
        <v>408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382</v>
      </c>
      <c r="C177" s="12" t="s">
        <v>390</v>
      </c>
      <c r="D177" s="15" t="s">
        <v>1463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383</v>
      </c>
      <c r="C178" s="12" t="s">
        <v>390</v>
      </c>
      <c r="D178" s="15" t="s">
        <v>1463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384</v>
      </c>
      <c r="C179" s="12" t="s">
        <v>390</v>
      </c>
      <c r="D179" s="15" t="s">
        <v>1463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385</v>
      </c>
      <c r="C180" s="12" t="s">
        <v>390</v>
      </c>
      <c r="D180" s="15" t="s">
        <v>1463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386</v>
      </c>
      <c r="C181" s="12" t="s">
        <v>390</v>
      </c>
      <c r="D181" s="15" t="s">
        <v>1463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387</v>
      </c>
      <c r="C182" s="12" t="s">
        <v>390</v>
      </c>
      <c r="D182" s="15" t="s">
        <v>1463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389</v>
      </c>
      <c r="C183" s="12" t="s">
        <v>390</v>
      </c>
      <c r="D183" s="15" t="s">
        <v>1463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572</v>
      </c>
      <c r="C184" s="12" t="s">
        <v>393</v>
      </c>
      <c r="D184" s="15" t="s">
        <v>1463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392</v>
      </c>
      <c r="C185" s="12" t="s">
        <v>393</v>
      </c>
      <c r="D185" s="15" t="s">
        <v>1463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360</v>
      </c>
      <c r="C186" s="12" t="s">
        <v>390</v>
      </c>
      <c r="D186" s="15" t="s">
        <v>1479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397</v>
      </c>
      <c r="C187" s="12" t="s">
        <v>390</v>
      </c>
      <c r="D187" s="15" t="s">
        <v>513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120</v>
      </c>
      <c r="C188" s="28" t="s">
        <v>1620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411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469</v>
      </c>
    </row>
    <row r="3" ht="13" spans="1:1">
      <c r="A3" s="214" t="s">
        <v>1642</v>
      </c>
    </row>
    <row r="4" ht="90" customHeight="1" spans="1:28">
      <c r="A4" s="215" t="s">
        <v>471</v>
      </c>
      <c r="B4" s="215" t="s">
        <v>472</v>
      </c>
      <c r="C4" s="215" t="s">
        <v>606</v>
      </c>
      <c r="D4" s="215" t="s">
        <v>473</v>
      </c>
      <c r="E4" s="215" t="s">
        <v>474</v>
      </c>
      <c r="F4" s="215" t="s">
        <v>476</v>
      </c>
      <c r="G4" s="215" t="s">
        <v>477</v>
      </c>
      <c r="H4" s="215" t="s">
        <v>478</v>
      </c>
      <c r="I4" s="215" t="s">
        <v>607</v>
      </c>
      <c r="J4" s="215"/>
      <c r="K4" s="215"/>
      <c r="L4" s="215"/>
      <c r="M4" s="215" t="s">
        <v>608</v>
      </c>
      <c r="N4" s="215" t="s">
        <v>479</v>
      </c>
      <c r="O4" s="215" t="s">
        <v>480</v>
      </c>
      <c r="P4" s="215" t="s">
        <v>609</v>
      </c>
      <c r="Q4" s="215" t="s">
        <v>610</v>
      </c>
      <c r="R4" s="215" t="s">
        <v>611</v>
      </c>
      <c r="S4" s="215" t="s">
        <v>612</v>
      </c>
      <c r="T4" s="215" t="s">
        <v>613</v>
      </c>
      <c r="U4" s="215" t="s">
        <v>614</v>
      </c>
      <c r="V4" s="215" t="s">
        <v>481</v>
      </c>
      <c r="W4" s="215"/>
      <c r="X4" s="215" t="s">
        <v>482</v>
      </c>
      <c r="Y4" s="215" t="s">
        <v>615</v>
      </c>
      <c r="Z4" s="215" t="s">
        <v>616</v>
      </c>
      <c r="AA4" s="215" t="s">
        <v>1643</v>
      </c>
      <c r="AB4" s="215" t="s">
        <v>808</v>
      </c>
    </row>
    <row r="5" spans="1:28">
      <c r="A5">
        <v>1</v>
      </c>
      <c r="B5" s="213" t="s">
        <v>23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1521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1605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26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29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225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31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301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33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183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1607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1524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1609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39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50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53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190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64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257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320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1611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485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78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1525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83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234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86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91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95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1454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1612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122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127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837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839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138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141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143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144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145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1530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44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153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840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154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841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159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842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844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165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846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847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169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1538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171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172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173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1613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81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67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181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848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1614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187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194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1631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205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203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163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208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209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210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211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213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217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221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833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36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1633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233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556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240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242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244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247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250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251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280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1636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282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284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855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287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288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290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1638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293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295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856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858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304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306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308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227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229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313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314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316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318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61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322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323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325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326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1462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330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332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334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335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337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1640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345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347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349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351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361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364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570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1185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365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366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367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369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1619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370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371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372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359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373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376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377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379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382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383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384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385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386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387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389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572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392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360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397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1644</v>
      </c>
    </row>
    <row r="2" ht="5.25" customHeight="1" spans="6:7">
      <c r="F2" s="150"/>
      <c r="G2" s="150"/>
    </row>
    <row r="3" customHeight="1" spans="2:7">
      <c r="B3" s="107" t="s">
        <v>1645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1646</v>
      </c>
      <c r="E6" s="55"/>
      <c r="F6" s="68"/>
      <c r="G6" s="68"/>
    </row>
    <row r="7" ht="37.15" customHeight="1" spans="1:7">
      <c r="A7" s="43"/>
      <c r="B7" s="42"/>
      <c r="C7" s="55"/>
      <c r="D7" s="55" t="s">
        <v>1647</v>
      </c>
      <c r="E7" s="111" t="s">
        <v>1648</v>
      </c>
      <c r="F7" s="111" t="s">
        <v>1649</v>
      </c>
      <c r="G7" s="57" t="s">
        <v>1043</v>
      </c>
    </row>
    <row r="8" customHeight="1" spans="1:7">
      <c r="A8" s="42" t="s">
        <v>21</v>
      </c>
      <c r="B8" s="182" t="s">
        <v>22</v>
      </c>
      <c r="C8" s="113"/>
      <c r="D8" s="113"/>
      <c r="E8" s="114" t="s">
        <v>20</v>
      </c>
      <c r="F8" s="114" t="s">
        <v>20</v>
      </c>
      <c r="G8" s="114" t="s">
        <v>20</v>
      </c>
    </row>
    <row r="9" customHeight="1" spans="1:8">
      <c r="A9" s="49">
        <v>1</v>
      </c>
      <c r="B9" s="183" t="s">
        <v>23</v>
      </c>
      <c r="C9" s="117" t="s">
        <v>24</v>
      </c>
      <c r="D9" s="117" t="s">
        <v>25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1650</v>
      </c>
      <c r="C10" s="117" t="s">
        <v>1651</v>
      </c>
      <c r="D10" s="119" t="s">
        <v>124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1521</v>
      </c>
      <c r="C11" s="43" t="s">
        <v>1652</v>
      </c>
      <c r="D11" s="49" t="s">
        <v>207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1605</v>
      </c>
      <c r="C12" s="120" t="s">
        <v>1606</v>
      </c>
      <c r="D12" s="121" t="s">
        <v>207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26</v>
      </c>
      <c r="C13" s="117" t="s">
        <v>27</v>
      </c>
      <c r="D13" s="49" t="s">
        <v>1653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29</v>
      </c>
      <c r="C14" s="43" t="s">
        <v>30</v>
      </c>
      <c r="D14" s="119" t="s">
        <v>1461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225</v>
      </c>
      <c r="C15" s="43" t="s">
        <v>1654</v>
      </c>
      <c r="D15" s="124" t="s">
        <v>38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31</v>
      </c>
      <c r="C16" s="17" t="s">
        <v>845</v>
      </c>
      <c r="D16" s="10" t="s">
        <v>38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301</v>
      </c>
      <c r="C17" s="43" t="s">
        <v>1655</v>
      </c>
      <c r="D17" s="49" t="s">
        <v>38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33</v>
      </c>
      <c r="C18" s="117" t="s">
        <v>1656</v>
      </c>
      <c r="D18" s="119" t="s">
        <v>38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183</v>
      </c>
      <c r="C19" s="117" t="s">
        <v>851</v>
      </c>
      <c r="D19" s="50" t="s">
        <v>1461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1607</v>
      </c>
      <c r="C20" s="120" t="s">
        <v>1608</v>
      </c>
      <c r="D20" s="127" t="s">
        <v>212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1524</v>
      </c>
      <c r="C21" s="120" t="s">
        <v>547</v>
      </c>
      <c r="D21" s="49" t="s">
        <v>212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1609</v>
      </c>
      <c r="C22" s="43" t="s">
        <v>1610</v>
      </c>
      <c r="D22" s="49" t="s">
        <v>212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39</v>
      </c>
      <c r="C23" s="120" t="s">
        <v>1657</v>
      </c>
      <c r="D23" s="119" t="s">
        <v>55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187</v>
      </c>
      <c r="C24" s="43" t="s">
        <v>1474</v>
      </c>
      <c r="D24" s="119" t="s">
        <v>215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50</v>
      </c>
      <c r="C25" s="117" t="s">
        <v>60</v>
      </c>
      <c r="D25" s="119" t="s">
        <v>63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53</v>
      </c>
      <c r="C26" s="43" t="s">
        <v>54</v>
      </c>
      <c r="D26" s="119" t="s">
        <v>926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190</v>
      </c>
      <c r="C27" s="117" t="s">
        <v>854</v>
      </c>
      <c r="D27" s="119" t="s">
        <v>131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64</v>
      </c>
      <c r="C28" s="117" t="s">
        <v>107</v>
      </c>
      <c r="D28" s="119" t="s">
        <v>151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257</v>
      </c>
      <c r="C29" s="43" t="s">
        <v>1658</v>
      </c>
      <c r="D29" s="119" t="s">
        <v>151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320</v>
      </c>
      <c r="C30" s="43" t="s">
        <v>1626</v>
      </c>
      <c r="D30" s="119" t="s">
        <v>77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1611</v>
      </c>
      <c r="C31" s="117" t="s">
        <v>104</v>
      </c>
      <c r="D31" s="119" t="s">
        <v>74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485</v>
      </c>
      <c r="C32" s="46" t="s">
        <v>94</v>
      </c>
      <c r="D32" s="49" t="s">
        <v>344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78</v>
      </c>
      <c r="C33" s="117" t="s">
        <v>94</v>
      </c>
      <c r="D33" s="119" t="s">
        <v>1627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1525</v>
      </c>
      <c r="C34" s="117" t="s">
        <v>1473</v>
      </c>
      <c r="D34" s="119" t="s">
        <v>105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83</v>
      </c>
      <c r="C35" s="117" t="s">
        <v>1473</v>
      </c>
      <c r="D35" s="119" t="s">
        <v>1659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234</v>
      </c>
      <c r="C36" s="17" t="s">
        <v>1628</v>
      </c>
      <c r="D36" s="119" t="s">
        <v>108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86</v>
      </c>
      <c r="C37" s="43" t="s">
        <v>1527</v>
      </c>
      <c r="D37" s="49" t="s">
        <v>108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91</v>
      </c>
      <c r="C38" s="17" t="s">
        <v>550</v>
      </c>
      <c r="D38" s="119" t="s">
        <v>276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1660</v>
      </c>
      <c r="C39" s="17" t="s">
        <v>550</v>
      </c>
      <c r="D39" s="119" t="s">
        <v>276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95</v>
      </c>
      <c r="C40" s="43" t="s">
        <v>1629</v>
      </c>
      <c r="D40" s="49" t="s">
        <v>276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1454</v>
      </c>
      <c r="C41" s="117" t="s">
        <v>104</v>
      </c>
      <c r="D41" s="119" t="s">
        <v>276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1612</v>
      </c>
      <c r="C42" s="117" t="s">
        <v>104</v>
      </c>
      <c r="D42" s="119" t="s">
        <v>276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120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121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122</v>
      </c>
      <c r="C46" s="43" t="s">
        <v>123</v>
      </c>
      <c r="D46" s="49" t="s">
        <v>140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127</v>
      </c>
      <c r="C47" s="43" t="s">
        <v>1064</v>
      </c>
      <c r="D47" s="49" t="s">
        <v>276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137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837</v>
      </c>
      <c r="C51" s="43" t="s">
        <v>838</v>
      </c>
      <c r="D51" s="49" t="s">
        <v>124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839</v>
      </c>
      <c r="C52" s="43" t="s">
        <v>43</v>
      </c>
      <c r="D52" s="49" t="s">
        <v>38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138</v>
      </c>
      <c r="C53" s="43" t="s">
        <v>142</v>
      </c>
      <c r="D53" s="49" t="s">
        <v>38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141</v>
      </c>
      <c r="C54" s="43" t="s">
        <v>142</v>
      </c>
      <c r="D54" s="49" t="s">
        <v>49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143</v>
      </c>
      <c r="C55" s="43" t="s">
        <v>45</v>
      </c>
      <c r="D55" s="49" t="s">
        <v>189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144</v>
      </c>
      <c r="C56" s="43" t="s">
        <v>45</v>
      </c>
      <c r="D56" s="49" t="s">
        <v>212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145</v>
      </c>
      <c r="C57" s="43" t="s">
        <v>51</v>
      </c>
      <c r="D57" s="16" t="s">
        <v>212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1530</v>
      </c>
      <c r="C58" s="43" t="s">
        <v>167</v>
      </c>
      <c r="D58" s="49" t="s">
        <v>502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44</v>
      </c>
      <c r="C59" s="43" t="s">
        <v>852</v>
      </c>
      <c r="D59" s="10" t="s">
        <v>215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153</v>
      </c>
      <c r="C60" s="43" t="s">
        <v>150</v>
      </c>
      <c r="D60" s="49" t="s">
        <v>344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840</v>
      </c>
      <c r="C61" s="43" t="s">
        <v>150</v>
      </c>
      <c r="D61" s="49" t="s">
        <v>344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154</v>
      </c>
      <c r="C62" s="43" t="s">
        <v>150</v>
      </c>
      <c r="D62" s="49" t="s">
        <v>344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120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156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841</v>
      </c>
      <c r="C66" s="117" t="s">
        <v>158</v>
      </c>
      <c r="D66" s="119" t="s">
        <v>124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159</v>
      </c>
      <c r="C67" s="117" t="s">
        <v>160</v>
      </c>
      <c r="D67" s="119" t="s">
        <v>850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120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1661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842</v>
      </c>
      <c r="C71" s="17" t="s">
        <v>843</v>
      </c>
      <c r="D71" s="10" t="s">
        <v>124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844</v>
      </c>
      <c r="C72" s="17" t="s">
        <v>845</v>
      </c>
      <c r="D72" s="119" t="s">
        <v>1461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165</v>
      </c>
      <c r="C73" s="43" t="s">
        <v>167</v>
      </c>
      <c r="D73" s="10" t="s">
        <v>215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846</v>
      </c>
      <c r="C74" s="17" t="s">
        <v>167</v>
      </c>
      <c r="D74" s="119" t="s">
        <v>63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847</v>
      </c>
      <c r="C75" s="17" t="s">
        <v>51</v>
      </c>
      <c r="D75" s="119" t="s">
        <v>212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169</v>
      </c>
      <c r="C76" s="4" t="s">
        <v>150</v>
      </c>
      <c r="D76" s="10" t="s">
        <v>1662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1538</v>
      </c>
      <c r="C77" s="17" t="s">
        <v>71</v>
      </c>
      <c r="D77" s="119" t="s">
        <v>131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171</v>
      </c>
      <c r="C78" s="17" t="s">
        <v>71</v>
      </c>
      <c r="D78" s="119" t="s">
        <v>504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172</v>
      </c>
      <c r="C79" s="17" t="s">
        <v>71</v>
      </c>
      <c r="D79" s="119" t="s">
        <v>504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173</v>
      </c>
      <c r="C80" s="43" t="s">
        <v>179</v>
      </c>
      <c r="D80" s="49" t="s">
        <v>151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1613</v>
      </c>
      <c r="C81" s="17" t="s">
        <v>150</v>
      </c>
      <c r="D81" s="49" t="s">
        <v>80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81</v>
      </c>
      <c r="C82" s="17" t="s">
        <v>68</v>
      </c>
      <c r="D82" s="49" t="s">
        <v>344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67</v>
      </c>
      <c r="C83" s="17" t="s">
        <v>68</v>
      </c>
      <c r="D83" s="49" t="s">
        <v>276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120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1663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181</v>
      </c>
      <c r="C87" s="43" t="s">
        <v>182</v>
      </c>
      <c r="D87" s="49" t="s">
        <v>124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848</v>
      </c>
      <c r="C88" s="46" t="s">
        <v>849</v>
      </c>
      <c r="D88" s="119" t="s">
        <v>1461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1614</v>
      </c>
      <c r="C89" s="46" t="s">
        <v>1615</v>
      </c>
      <c r="D89" s="119" t="s">
        <v>1461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194</v>
      </c>
      <c r="C90" s="43" t="s">
        <v>179</v>
      </c>
      <c r="D90" s="49" t="s">
        <v>80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120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1664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1665</v>
      </c>
      <c r="C94" s="43" t="s">
        <v>1632</v>
      </c>
      <c r="D94" s="49" t="s">
        <v>207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205</v>
      </c>
      <c r="C95" s="43" t="s">
        <v>142</v>
      </c>
      <c r="D95" s="49" t="s">
        <v>38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203</v>
      </c>
      <c r="C96" s="43" t="s">
        <v>142</v>
      </c>
      <c r="D96" s="49" t="s">
        <v>38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163</v>
      </c>
      <c r="C97" s="43" t="s">
        <v>51</v>
      </c>
      <c r="D97" s="49" t="s">
        <v>46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208</v>
      </c>
      <c r="C98" s="43" t="s">
        <v>45</v>
      </c>
      <c r="D98" s="49" t="s">
        <v>212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1666</v>
      </c>
      <c r="C99" s="43" t="s">
        <v>45</v>
      </c>
      <c r="D99" s="49" t="s">
        <v>501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209</v>
      </c>
      <c r="C100" s="43" t="s">
        <v>852</v>
      </c>
      <c r="D100" s="119" t="s">
        <v>215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210</v>
      </c>
      <c r="C101" s="117" t="s">
        <v>167</v>
      </c>
      <c r="D101" s="119" t="s">
        <v>63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211</v>
      </c>
      <c r="C102" s="117" t="s">
        <v>167</v>
      </c>
      <c r="D102" s="119" t="s">
        <v>63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213</v>
      </c>
      <c r="C103" s="17" t="s">
        <v>71</v>
      </c>
      <c r="D103" s="119" t="s">
        <v>504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217</v>
      </c>
      <c r="C104" s="43" t="s">
        <v>150</v>
      </c>
      <c r="D104" s="49" t="s">
        <v>344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221</v>
      </c>
      <c r="C105" s="17" t="s">
        <v>222</v>
      </c>
      <c r="D105" s="119" t="s">
        <v>276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120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1667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833</v>
      </c>
      <c r="C109" s="49" t="s">
        <v>834</v>
      </c>
      <c r="D109" s="119" t="s">
        <v>207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36</v>
      </c>
      <c r="C110" s="4" t="s">
        <v>228</v>
      </c>
      <c r="D110" s="10" t="s">
        <v>212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1633</v>
      </c>
      <c r="C111" s="4" t="s">
        <v>1634</v>
      </c>
      <c r="D111" s="119" t="s">
        <v>63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233</v>
      </c>
      <c r="C112" s="43" t="s">
        <v>1668</v>
      </c>
      <c r="D112" s="119" t="s">
        <v>1669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120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1670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556</v>
      </c>
      <c r="C116" s="117" t="s">
        <v>239</v>
      </c>
      <c r="D116" s="119" t="s">
        <v>124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240</v>
      </c>
      <c r="C117" s="43" t="s">
        <v>241</v>
      </c>
      <c r="D117" s="49" t="s">
        <v>38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242</v>
      </c>
      <c r="C118" s="43" t="s">
        <v>557</v>
      </c>
      <c r="D118" s="49" t="s">
        <v>55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244</v>
      </c>
      <c r="C119" s="43" t="s">
        <v>557</v>
      </c>
      <c r="D119" s="10" t="s">
        <v>502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247</v>
      </c>
      <c r="C120" s="46" t="s">
        <v>248</v>
      </c>
      <c r="D120" s="119" t="s">
        <v>105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250</v>
      </c>
      <c r="C121" s="46" t="s">
        <v>248</v>
      </c>
      <c r="D121" s="49" t="s">
        <v>108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251</v>
      </c>
      <c r="C122" s="46" t="s">
        <v>248</v>
      </c>
      <c r="D122" s="119" t="s">
        <v>276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120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1671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280</v>
      </c>
      <c r="C126" s="117" t="s">
        <v>281</v>
      </c>
      <c r="D126" s="119" t="s">
        <v>124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1636</v>
      </c>
      <c r="C127" s="117" t="s">
        <v>1637</v>
      </c>
      <c r="D127" s="119" t="s">
        <v>35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282</v>
      </c>
      <c r="C128" s="117" t="s">
        <v>559</v>
      </c>
      <c r="D128" s="119" t="s">
        <v>38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284</v>
      </c>
      <c r="C129" s="117" t="s">
        <v>559</v>
      </c>
      <c r="D129" s="119" t="s">
        <v>38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855</v>
      </c>
      <c r="C130" s="117" t="s">
        <v>559</v>
      </c>
      <c r="D130" s="119" t="s">
        <v>41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287</v>
      </c>
      <c r="C131" s="117" t="s">
        <v>1639</v>
      </c>
      <c r="D131" s="119" t="s">
        <v>502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288</v>
      </c>
      <c r="C132" s="117" t="s">
        <v>560</v>
      </c>
      <c r="D132" s="119" t="s">
        <v>215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290</v>
      </c>
      <c r="C133" s="117" t="s">
        <v>1476</v>
      </c>
      <c r="D133" s="119" t="s">
        <v>215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1638</v>
      </c>
      <c r="C134" s="117" t="s">
        <v>1639</v>
      </c>
      <c r="D134" s="119" t="s">
        <v>503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293</v>
      </c>
      <c r="C135" s="117" t="s">
        <v>561</v>
      </c>
      <c r="D135" s="49" t="s">
        <v>344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295</v>
      </c>
      <c r="C136" s="117" t="s">
        <v>296</v>
      </c>
      <c r="D136" s="119" t="s">
        <v>276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120</v>
      </c>
      <c r="C137" s="162" t="s">
        <v>826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1672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1673</v>
      </c>
      <c r="C140" s="117" t="s">
        <v>1674</v>
      </c>
      <c r="D140" s="119" t="s">
        <v>124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856</v>
      </c>
      <c r="C141" s="117" t="s">
        <v>857</v>
      </c>
      <c r="D141" s="119" t="s">
        <v>124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858</v>
      </c>
      <c r="C142" s="117" t="s">
        <v>859</v>
      </c>
      <c r="D142" s="119" t="s">
        <v>35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304</v>
      </c>
      <c r="C143" s="4" t="s">
        <v>1675</v>
      </c>
      <c r="D143" s="16" t="s">
        <v>38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1676</v>
      </c>
      <c r="C144" s="4" t="s">
        <v>1677</v>
      </c>
      <c r="D144" s="16" t="s">
        <v>38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306</v>
      </c>
      <c r="C145" s="117" t="s">
        <v>860</v>
      </c>
      <c r="D145" s="119" t="s">
        <v>212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308</v>
      </c>
      <c r="C146" s="43" t="s">
        <v>312</v>
      </c>
      <c r="D146" s="119" t="s">
        <v>212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227</v>
      </c>
      <c r="C147" s="43" t="s">
        <v>862</v>
      </c>
      <c r="D147" s="119" t="s">
        <v>215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229</v>
      </c>
      <c r="C148" s="117" t="s">
        <v>861</v>
      </c>
      <c r="D148" s="119" t="s">
        <v>131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313</v>
      </c>
      <c r="C149" s="117" t="s">
        <v>861</v>
      </c>
      <c r="D149" s="119" t="s">
        <v>131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314</v>
      </c>
      <c r="C150" s="43" t="s">
        <v>862</v>
      </c>
      <c r="D150" s="119" t="s">
        <v>131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316</v>
      </c>
      <c r="C151" s="43" t="s">
        <v>864</v>
      </c>
      <c r="D151" s="119" t="s">
        <v>151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318</v>
      </c>
      <c r="C152" s="117" t="s">
        <v>1478</v>
      </c>
      <c r="D152" s="119" t="s">
        <v>77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61</v>
      </c>
      <c r="C153" s="117" t="s">
        <v>346</v>
      </c>
      <c r="D153" s="119" t="s">
        <v>151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1678</v>
      </c>
      <c r="C154" s="43" t="s">
        <v>864</v>
      </c>
      <c r="D154" s="119" t="s">
        <v>74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919</v>
      </c>
      <c r="C155" s="43" t="s">
        <v>864</v>
      </c>
      <c r="D155" s="119" t="s">
        <v>74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325</v>
      </c>
      <c r="C156" s="43" t="s">
        <v>864</v>
      </c>
      <c r="D156" s="119" t="s">
        <v>74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326</v>
      </c>
      <c r="C157" s="117" t="s">
        <v>327</v>
      </c>
      <c r="D157" s="119" t="s">
        <v>80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1462</v>
      </c>
      <c r="C158" s="117" t="s">
        <v>329</v>
      </c>
      <c r="D158" s="49" t="s">
        <v>344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330</v>
      </c>
      <c r="C159" s="117" t="s">
        <v>346</v>
      </c>
      <c r="D159" s="119" t="s">
        <v>105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332</v>
      </c>
      <c r="C160" s="117" t="s">
        <v>1679</v>
      </c>
      <c r="D160" s="119" t="s">
        <v>105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334</v>
      </c>
      <c r="C161" s="117" t="s">
        <v>346</v>
      </c>
      <c r="D161" s="119" t="s">
        <v>105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335</v>
      </c>
      <c r="C162" s="117" t="s">
        <v>568</v>
      </c>
      <c r="D162" s="119" t="s">
        <v>105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337</v>
      </c>
      <c r="C163" s="117" t="s">
        <v>348</v>
      </c>
      <c r="D163" s="119" t="s">
        <v>1659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1640</v>
      </c>
      <c r="C164" s="117" t="s">
        <v>346</v>
      </c>
      <c r="D164" s="119" t="s">
        <v>276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345</v>
      </c>
      <c r="C165" s="117" t="s">
        <v>346</v>
      </c>
      <c r="D165" s="119" t="s">
        <v>276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347</v>
      </c>
      <c r="C166" s="117" t="s">
        <v>348</v>
      </c>
      <c r="D166" s="119" t="s">
        <v>276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349</v>
      </c>
      <c r="C167" s="117" t="s">
        <v>350</v>
      </c>
      <c r="D167" s="119" t="s">
        <v>276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351</v>
      </c>
      <c r="C168" s="117" t="s">
        <v>569</v>
      </c>
      <c r="D168" s="119" t="s">
        <v>276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361</v>
      </c>
      <c r="C169" s="117" t="s">
        <v>362</v>
      </c>
      <c r="D169" s="119" t="s">
        <v>510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364</v>
      </c>
      <c r="C170" s="117" t="s">
        <v>362</v>
      </c>
      <c r="D170" s="119" t="s">
        <v>510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570</v>
      </c>
      <c r="C171" s="117" t="s">
        <v>362</v>
      </c>
      <c r="D171" s="119" t="s">
        <v>510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1187</v>
      </c>
      <c r="C172" s="117" t="s">
        <v>362</v>
      </c>
      <c r="D172" s="119" t="s">
        <v>510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1185</v>
      </c>
      <c r="C173" s="117" t="s">
        <v>362</v>
      </c>
      <c r="D173" s="119" t="s">
        <v>510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365</v>
      </c>
      <c r="C174" s="117" t="s">
        <v>362</v>
      </c>
      <c r="D174" s="119" t="s">
        <v>510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366</v>
      </c>
      <c r="C175" s="117" t="s">
        <v>362</v>
      </c>
      <c r="D175" s="119" t="s">
        <v>510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367</v>
      </c>
      <c r="C176" s="117" t="s">
        <v>393</v>
      </c>
      <c r="D176" s="119" t="s">
        <v>1680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369</v>
      </c>
      <c r="C177" s="117" t="s">
        <v>393</v>
      </c>
      <c r="D177" s="119" t="s">
        <v>1680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1619</v>
      </c>
      <c r="C178" s="117" t="s">
        <v>393</v>
      </c>
      <c r="D178" s="119" t="s">
        <v>1680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370</v>
      </c>
      <c r="C179" s="117" t="s">
        <v>393</v>
      </c>
      <c r="D179" s="119" t="s">
        <v>1680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371</v>
      </c>
      <c r="C180" s="117" t="s">
        <v>393</v>
      </c>
      <c r="D180" s="119" t="s">
        <v>1680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372</v>
      </c>
      <c r="C181" s="117" t="s">
        <v>393</v>
      </c>
      <c r="D181" s="119" t="s">
        <v>1680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359</v>
      </c>
      <c r="C182" s="117" t="s">
        <v>393</v>
      </c>
      <c r="D182" s="119" t="s">
        <v>1680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373</v>
      </c>
      <c r="C183" s="117" t="s">
        <v>393</v>
      </c>
      <c r="D183" s="119" t="s">
        <v>408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376</v>
      </c>
      <c r="C184" s="117" t="s">
        <v>393</v>
      </c>
      <c r="D184" s="119" t="s">
        <v>408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377</v>
      </c>
      <c r="C185" s="117" t="s">
        <v>393</v>
      </c>
      <c r="D185" s="119" t="s">
        <v>512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379</v>
      </c>
      <c r="C186" s="117" t="s">
        <v>393</v>
      </c>
      <c r="D186" s="119" t="s">
        <v>396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382</v>
      </c>
      <c r="C187" s="117" t="s">
        <v>390</v>
      </c>
      <c r="D187" s="119" t="s">
        <v>1681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383</v>
      </c>
      <c r="C188" s="117" t="s">
        <v>390</v>
      </c>
      <c r="D188" s="119" t="s">
        <v>1681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384</v>
      </c>
      <c r="C189" s="117" t="s">
        <v>390</v>
      </c>
      <c r="D189" s="119" t="s">
        <v>1681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385</v>
      </c>
      <c r="C190" s="117" t="s">
        <v>390</v>
      </c>
      <c r="D190" s="119" t="s">
        <v>1681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386</v>
      </c>
      <c r="C191" s="117" t="s">
        <v>390</v>
      </c>
      <c r="D191" s="119" t="s">
        <v>1681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387</v>
      </c>
      <c r="C192" s="117" t="s">
        <v>390</v>
      </c>
      <c r="D192" s="119" t="s">
        <v>398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389</v>
      </c>
      <c r="C193" s="117" t="s">
        <v>390</v>
      </c>
      <c r="D193" s="119" t="s">
        <v>398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572</v>
      </c>
      <c r="C194" s="117" t="s">
        <v>390</v>
      </c>
      <c r="D194" s="119" t="s">
        <v>403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392</v>
      </c>
      <c r="C195" s="117" t="s">
        <v>390</v>
      </c>
      <c r="D195" s="119" t="s">
        <v>403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360</v>
      </c>
      <c r="C196" s="117" t="s">
        <v>390</v>
      </c>
      <c r="D196" s="119" t="s">
        <v>403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397</v>
      </c>
      <c r="C197" s="117" t="s">
        <v>390</v>
      </c>
      <c r="D197" s="119" t="s">
        <v>865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120</v>
      </c>
      <c r="C198" s="172" t="s">
        <v>1682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411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1683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1644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1684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1646</v>
      </c>
      <c r="F6" s="57" t="s">
        <v>1685</v>
      </c>
      <c r="G6" s="43"/>
      <c r="H6" s="57"/>
      <c r="I6" s="57"/>
      <c r="J6" s="57"/>
      <c r="K6" s="57"/>
      <c r="L6" s="57"/>
      <c r="M6" s="57" t="s">
        <v>1686</v>
      </c>
      <c r="N6" s="57" t="s">
        <v>1687</v>
      </c>
      <c r="O6" s="57" t="s">
        <v>1688</v>
      </c>
      <c r="P6" s="57" t="s">
        <v>1689</v>
      </c>
      <c r="Q6" s="57" t="s">
        <v>1690</v>
      </c>
      <c r="R6" s="57" t="s">
        <v>1691</v>
      </c>
      <c r="S6" s="57" t="s">
        <v>1692</v>
      </c>
      <c r="T6" s="57" t="s">
        <v>1693</v>
      </c>
      <c r="U6" s="57" t="s">
        <v>1043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1647</v>
      </c>
      <c r="F7" s="57" t="s">
        <v>756</v>
      </c>
      <c r="G7" s="111" t="s">
        <v>1694</v>
      </c>
      <c r="H7" s="57" t="s">
        <v>1090</v>
      </c>
      <c r="I7" s="57" t="s">
        <v>1091</v>
      </c>
      <c r="J7" s="57" t="s">
        <v>1092</v>
      </c>
      <c r="K7" s="57" t="s">
        <v>1093</v>
      </c>
      <c r="L7" s="57" t="s">
        <v>1094</v>
      </c>
      <c r="M7" s="57" t="s">
        <v>1095</v>
      </c>
      <c r="N7" s="57" t="s">
        <v>7</v>
      </c>
      <c r="O7" s="57" t="s">
        <v>7</v>
      </c>
      <c r="P7" s="57" t="s">
        <v>1096</v>
      </c>
      <c r="Q7" s="57" t="s">
        <v>1096</v>
      </c>
      <c r="R7" s="57" t="s">
        <v>8</v>
      </c>
      <c r="S7" s="57" t="s">
        <v>756</v>
      </c>
      <c r="T7" s="111" t="s">
        <v>756</v>
      </c>
      <c r="U7" s="111"/>
      <c r="V7" s="111"/>
      <c r="W7" s="57" t="s">
        <v>1041</v>
      </c>
      <c r="X7" s="111" t="s">
        <v>977</v>
      </c>
      <c r="Y7" s="57" t="s">
        <v>1043</v>
      </c>
      <c r="Z7" s="57"/>
      <c r="AA7" s="57"/>
      <c r="AB7" s="57"/>
    </row>
    <row r="8" customHeight="1" spans="1:28">
      <c r="A8" s="42" t="s">
        <v>21</v>
      </c>
      <c r="B8" s="112" t="s">
        <v>1695</v>
      </c>
      <c r="C8" s="112"/>
      <c r="D8" s="113"/>
      <c r="E8" s="113"/>
      <c r="F8" s="114" t="s">
        <v>20</v>
      </c>
      <c r="G8" s="68"/>
      <c r="H8" s="114"/>
      <c r="I8" s="114" t="s">
        <v>20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20</v>
      </c>
      <c r="T8" s="114" t="s">
        <v>20</v>
      </c>
      <c r="U8" s="114" t="s">
        <v>20</v>
      </c>
      <c r="V8" s="114"/>
      <c r="W8" s="114" t="s">
        <v>20</v>
      </c>
      <c r="X8" s="114" t="s">
        <v>20</v>
      </c>
      <c r="Y8" s="114" t="s">
        <v>20</v>
      </c>
      <c r="Z8" s="114"/>
      <c r="AA8" s="114"/>
      <c r="AB8" s="114"/>
    </row>
    <row r="9" customHeight="1" spans="1:29">
      <c r="A9" s="49">
        <v>1</v>
      </c>
      <c r="B9" s="115" t="s">
        <v>23</v>
      </c>
      <c r="C9" s="116"/>
      <c r="D9" s="117" t="s">
        <v>24</v>
      </c>
      <c r="E9" s="117" t="s">
        <v>25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1650</v>
      </c>
      <c r="C10" s="116"/>
      <c r="D10" s="117" t="s">
        <v>1651</v>
      </c>
      <c r="E10" s="119" t="s">
        <v>124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1696</v>
      </c>
      <c r="C11" s="54"/>
      <c r="D11" s="120" t="s">
        <v>1697</v>
      </c>
      <c r="E11" s="121" t="s">
        <v>35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1521</v>
      </c>
      <c r="C12" s="116"/>
      <c r="D12" s="43" t="s">
        <v>1652</v>
      </c>
      <c r="E12" s="49" t="s">
        <v>207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1605</v>
      </c>
      <c r="C13" s="54"/>
      <c r="D13" s="120" t="s">
        <v>1606</v>
      </c>
      <c r="E13" s="121" t="s">
        <v>207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26</v>
      </c>
      <c r="C14" s="116"/>
      <c r="D14" s="117" t="s">
        <v>27</v>
      </c>
      <c r="E14" s="49" t="s">
        <v>1653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225</v>
      </c>
      <c r="C15" s="54"/>
      <c r="D15" s="43" t="s">
        <v>1654</v>
      </c>
      <c r="E15" s="124" t="s">
        <v>38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31</v>
      </c>
      <c r="C16" s="126"/>
      <c r="D16" s="17" t="s">
        <v>845</v>
      </c>
      <c r="E16" s="10" t="s">
        <v>38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301</v>
      </c>
      <c r="C17" s="54"/>
      <c r="D17" s="43" t="s">
        <v>1655</v>
      </c>
      <c r="E17" s="49" t="s">
        <v>38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33</v>
      </c>
      <c r="C18" s="117"/>
      <c r="D18" s="117" t="s">
        <v>1656</v>
      </c>
      <c r="E18" s="119" t="s">
        <v>38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183</v>
      </c>
      <c r="C19" s="116"/>
      <c r="D19" s="117" t="s">
        <v>851</v>
      </c>
      <c r="E19" s="50" t="s">
        <v>1461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1607</v>
      </c>
      <c r="C20" s="54"/>
      <c r="D20" s="120" t="s">
        <v>1608</v>
      </c>
      <c r="E20" s="127" t="s">
        <v>212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1524</v>
      </c>
      <c r="C21" s="54"/>
      <c r="D21" s="120" t="s">
        <v>547</v>
      </c>
      <c r="E21" s="49" t="s">
        <v>212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1609</v>
      </c>
      <c r="C22" s="54"/>
      <c r="D22" s="43" t="s">
        <v>1610</v>
      </c>
      <c r="E22" s="49" t="s">
        <v>212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39</v>
      </c>
      <c r="C23" s="116"/>
      <c r="D23" s="120" t="s">
        <v>1657</v>
      </c>
      <c r="E23" s="119" t="s">
        <v>55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29</v>
      </c>
      <c r="C24" s="54"/>
      <c r="D24" s="43" t="s">
        <v>1698</v>
      </c>
      <c r="E24" s="119" t="s">
        <v>926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50</v>
      </c>
      <c r="C25" s="116"/>
      <c r="D25" s="117" t="s">
        <v>60</v>
      </c>
      <c r="E25" s="119" t="s">
        <v>63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64</v>
      </c>
      <c r="C26" s="116"/>
      <c r="D26" s="117" t="s">
        <v>107</v>
      </c>
      <c r="E26" s="119" t="s">
        <v>151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190</v>
      </c>
      <c r="C27" s="116"/>
      <c r="D27" s="117" t="s">
        <v>854</v>
      </c>
      <c r="E27" s="119" t="s">
        <v>131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53</v>
      </c>
      <c r="C28" s="116"/>
      <c r="D28" s="43" t="s">
        <v>54</v>
      </c>
      <c r="E28" s="119" t="s">
        <v>77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78</v>
      </c>
      <c r="C29" s="116"/>
      <c r="D29" s="117" t="s">
        <v>94</v>
      </c>
      <c r="E29" s="119" t="s">
        <v>1627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1454</v>
      </c>
      <c r="C30" s="116"/>
      <c r="D30" s="117" t="s">
        <v>104</v>
      </c>
      <c r="E30" s="119" t="s">
        <v>276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1611</v>
      </c>
      <c r="C31" s="116"/>
      <c r="D31" s="117" t="s">
        <v>104</v>
      </c>
      <c r="E31" s="119" t="s">
        <v>74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187</v>
      </c>
      <c r="C32" s="117"/>
      <c r="D32" s="43" t="s">
        <v>1474</v>
      </c>
      <c r="E32" s="119" t="s">
        <v>215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257</v>
      </c>
      <c r="C33" s="116"/>
      <c r="D33" s="43" t="s">
        <v>1658</v>
      </c>
      <c r="E33" s="119" t="s">
        <v>151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320</v>
      </c>
      <c r="C34" s="116"/>
      <c r="D34" s="43" t="s">
        <v>1626</v>
      </c>
      <c r="E34" s="119" t="s">
        <v>77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1525</v>
      </c>
      <c r="C35" s="116"/>
      <c r="D35" s="117" t="s">
        <v>1473</v>
      </c>
      <c r="E35" s="119" t="s">
        <v>105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83</v>
      </c>
      <c r="C36" s="116"/>
      <c r="D36" s="117" t="s">
        <v>1473</v>
      </c>
      <c r="E36" s="119" t="s">
        <v>1659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234</v>
      </c>
      <c r="C37" s="126"/>
      <c r="D37" s="17" t="s">
        <v>1628</v>
      </c>
      <c r="E37" s="119" t="s">
        <v>108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91</v>
      </c>
      <c r="C38" s="126"/>
      <c r="D38" s="17" t="s">
        <v>550</v>
      </c>
      <c r="E38" s="119" t="s">
        <v>276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120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121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122</v>
      </c>
      <c r="C42" s="116"/>
      <c r="D42" s="43" t="s">
        <v>123</v>
      </c>
      <c r="E42" s="49" t="s">
        <v>140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120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137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837</v>
      </c>
      <c r="C46" s="116"/>
      <c r="D46" s="43" t="s">
        <v>838</v>
      </c>
      <c r="E46" s="49" t="s">
        <v>124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839</v>
      </c>
      <c r="C47" s="116"/>
      <c r="D47" s="43" t="s">
        <v>43</v>
      </c>
      <c r="E47" s="49" t="s">
        <v>38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138</v>
      </c>
      <c r="C48" s="116"/>
      <c r="D48" s="43" t="s">
        <v>142</v>
      </c>
      <c r="E48" s="49" t="s">
        <v>38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141</v>
      </c>
      <c r="C49" s="116"/>
      <c r="D49" s="43" t="s">
        <v>142</v>
      </c>
      <c r="E49" s="49" t="s">
        <v>49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143</v>
      </c>
      <c r="C50" s="116"/>
      <c r="D50" s="43" t="s">
        <v>45</v>
      </c>
      <c r="E50" s="49" t="s">
        <v>189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144</v>
      </c>
      <c r="C51" s="116"/>
      <c r="D51" s="43" t="s">
        <v>45</v>
      </c>
      <c r="E51" s="49" t="s">
        <v>212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145</v>
      </c>
      <c r="C52" s="137"/>
      <c r="D52" s="43" t="s">
        <v>51</v>
      </c>
      <c r="E52" s="16" t="s">
        <v>212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1530</v>
      </c>
      <c r="C53" s="116"/>
      <c r="D53" s="43" t="s">
        <v>167</v>
      </c>
      <c r="E53" s="49" t="s">
        <v>502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1699</v>
      </c>
      <c r="C54" s="139"/>
      <c r="D54" s="140" t="s">
        <v>51</v>
      </c>
      <c r="E54" s="141" t="s">
        <v>52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44</v>
      </c>
      <c r="C55" s="126"/>
      <c r="D55" s="43" t="s">
        <v>852</v>
      </c>
      <c r="E55" s="10" t="s">
        <v>215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120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156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841</v>
      </c>
      <c r="C59" s="116"/>
      <c r="D59" s="117" t="s">
        <v>158</v>
      </c>
      <c r="E59" s="119" t="s">
        <v>124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159</v>
      </c>
      <c r="C60" s="116"/>
      <c r="D60" s="117" t="s">
        <v>160</v>
      </c>
      <c r="E60" s="119" t="s">
        <v>850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120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1661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842</v>
      </c>
      <c r="C64" s="126"/>
      <c r="D64" s="17" t="s">
        <v>843</v>
      </c>
      <c r="E64" s="10" t="s">
        <v>124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844</v>
      </c>
      <c r="C65" s="126"/>
      <c r="D65" s="17" t="s">
        <v>845</v>
      </c>
      <c r="E65" s="119" t="s">
        <v>1461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1700</v>
      </c>
      <c r="C66" s="126"/>
      <c r="D66" s="4" t="s">
        <v>852</v>
      </c>
      <c r="E66" s="10" t="s">
        <v>55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165</v>
      </c>
      <c r="C67" s="126"/>
      <c r="D67" s="43" t="s">
        <v>167</v>
      </c>
      <c r="E67" s="10" t="s">
        <v>215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1701</v>
      </c>
      <c r="C68" s="126"/>
      <c r="D68" s="17" t="s">
        <v>167</v>
      </c>
      <c r="E68" s="119" t="s">
        <v>63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847</v>
      </c>
      <c r="C69" s="54"/>
      <c r="D69" s="17" t="s">
        <v>51</v>
      </c>
      <c r="E69" s="119" t="s">
        <v>212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169</v>
      </c>
      <c r="C70" s="126"/>
      <c r="D70" s="4" t="s">
        <v>150</v>
      </c>
      <c r="E70" s="10" t="s">
        <v>1662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1538</v>
      </c>
      <c r="C71" s="117"/>
      <c r="D71" s="17" t="s">
        <v>150</v>
      </c>
      <c r="E71" s="119" t="s">
        <v>131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173</v>
      </c>
      <c r="C72" s="116"/>
      <c r="D72" s="43" t="s">
        <v>179</v>
      </c>
      <c r="E72" s="49" t="s">
        <v>151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1613</v>
      </c>
      <c r="C73" s="126"/>
      <c r="D73" s="17" t="s">
        <v>150</v>
      </c>
      <c r="E73" s="49" t="s">
        <v>80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81</v>
      </c>
      <c r="C74" s="126"/>
      <c r="D74" s="17" t="s">
        <v>68</v>
      </c>
      <c r="E74" s="49" t="s">
        <v>276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67</v>
      </c>
      <c r="C75" s="54"/>
      <c r="D75" s="17" t="s">
        <v>68</v>
      </c>
      <c r="E75" s="49" t="s">
        <v>276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120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1663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181</v>
      </c>
      <c r="C79" s="116"/>
      <c r="D79" s="43" t="s">
        <v>182</v>
      </c>
      <c r="E79" s="49" t="s">
        <v>124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848</v>
      </c>
      <c r="D80" s="46" t="s">
        <v>849</v>
      </c>
      <c r="E80" s="119" t="s">
        <v>1461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1614</v>
      </c>
      <c r="D81" s="46" t="s">
        <v>1615</v>
      </c>
      <c r="E81" s="119" t="s">
        <v>1461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1702</v>
      </c>
      <c r="C82" s="116"/>
      <c r="D82" s="43" t="s">
        <v>852</v>
      </c>
      <c r="E82" s="119" t="s">
        <v>215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194</v>
      </c>
      <c r="C83" s="116"/>
      <c r="D83" s="43" t="s">
        <v>179</v>
      </c>
      <c r="E83" s="49" t="s">
        <v>80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86</v>
      </c>
      <c r="C84" s="116"/>
      <c r="D84" s="43" t="s">
        <v>1527</v>
      </c>
      <c r="E84" s="49" t="s">
        <v>108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95</v>
      </c>
      <c r="C85" s="116"/>
      <c r="D85" s="43" t="s">
        <v>1629</v>
      </c>
      <c r="E85" s="49" t="s">
        <v>276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120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1664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1665</v>
      </c>
      <c r="C89" s="116"/>
      <c r="D89" s="43" t="s">
        <v>1632</v>
      </c>
      <c r="E89" s="49" t="s">
        <v>207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205</v>
      </c>
      <c r="C90" s="116"/>
      <c r="D90" s="43" t="s">
        <v>142</v>
      </c>
      <c r="E90" s="49" t="s">
        <v>38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203</v>
      </c>
      <c r="C91" s="116"/>
      <c r="D91" s="43" t="s">
        <v>142</v>
      </c>
      <c r="E91" s="49" t="s">
        <v>38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1703</v>
      </c>
      <c r="C92" s="116"/>
      <c r="D92" s="43" t="s">
        <v>45</v>
      </c>
      <c r="E92" s="49" t="s">
        <v>212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163</v>
      </c>
      <c r="C93" s="54"/>
      <c r="D93" s="43" t="s">
        <v>51</v>
      </c>
      <c r="E93" s="49" t="s">
        <v>46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208</v>
      </c>
      <c r="C94" s="126"/>
      <c r="D94" s="43" t="s">
        <v>45</v>
      </c>
      <c r="E94" s="49" t="s">
        <v>212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1704</v>
      </c>
      <c r="C95" s="116"/>
      <c r="D95" s="117" t="s">
        <v>51</v>
      </c>
      <c r="E95" s="119" t="s">
        <v>52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1097" t="s">
        <v>1705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209</v>
      </c>
      <c r="C96" s="117"/>
      <c r="D96" s="43" t="s">
        <v>852</v>
      </c>
      <c r="E96" s="119" t="s">
        <v>215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210</v>
      </c>
      <c r="C97" s="116"/>
      <c r="D97" s="117" t="s">
        <v>167</v>
      </c>
      <c r="E97" s="119" t="s">
        <v>63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211</v>
      </c>
      <c r="C98" s="116"/>
      <c r="D98" s="117" t="s">
        <v>167</v>
      </c>
      <c r="E98" s="119" t="s">
        <v>63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120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1667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833</v>
      </c>
      <c r="C102" s="116"/>
      <c r="D102" s="49" t="s">
        <v>834</v>
      </c>
      <c r="E102" s="119" t="s">
        <v>207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36</v>
      </c>
      <c r="C103" s="126"/>
      <c r="D103" s="4" t="s">
        <v>228</v>
      </c>
      <c r="E103" s="10" t="s">
        <v>212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1633</v>
      </c>
      <c r="C104" s="126"/>
      <c r="D104" s="4" t="s">
        <v>1634</v>
      </c>
      <c r="E104" s="119" t="s">
        <v>63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233</v>
      </c>
      <c r="C105" s="116"/>
      <c r="D105" s="43" t="s">
        <v>1668</v>
      </c>
      <c r="E105" s="119" t="s">
        <v>1669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120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1670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556</v>
      </c>
      <c r="C109" s="116"/>
      <c r="D109" s="117" t="s">
        <v>239</v>
      </c>
      <c r="E109" s="119" t="s">
        <v>124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240</v>
      </c>
      <c r="C110" s="164"/>
      <c r="D110" s="43" t="s">
        <v>241</v>
      </c>
      <c r="E110" s="49" t="s">
        <v>38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242</v>
      </c>
      <c r="C111" s="116"/>
      <c r="D111" s="43" t="s">
        <v>557</v>
      </c>
      <c r="E111" s="49" t="s">
        <v>55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244</v>
      </c>
      <c r="C112" s="126"/>
      <c r="D112" s="43" t="s">
        <v>557</v>
      </c>
      <c r="E112" s="10" t="s">
        <v>502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247</v>
      </c>
      <c r="C113" s="116"/>
      <c r="D113" s="46" t="s">
        <v>248</v>
      </c>
      <c r="E113" s="119" t="s">
        <v>105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250</v>
      </c>
      <c r="C114" s="126"/>
      <c r="D114" s="46" t="s">
        <v>248</v>
      </c>
      <c r="E114" s="49" t="s">
        <v>108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251</v>
      </c>
      <c r="C115" s="116"/>
      <c r="D115" s="46" t="s">
        <v>248</v>
      </c>
      <c r="E115" s="119" t="s">
        <v>276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1706</v>
      </c>
      <c r="C116" s="116"/>
      <c r="D116" s="46" t="s">
        <v>248</v>
      </c>
      <c r="E116" s="119" t="s">
        <v>276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120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1671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280</v>
      </c>
      <c r="C120" s="117"/>
      <c r="D120" s="117" t="s">
        <v>281</v>
      </c>
      <c r="E120" s="119" t="s">
        <v>124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1636</v>
      </c>
      <c r="C121" s="117"/>
      <c r="D121" s="117" t="s">
        <v>1637</v>
      </c>
      <c r="E121" s="119" t="s">
        <v>35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282</v>
      </c>
      <c r="C122" s="117"/>
      <c r="D122" s="117" t="s">
        <v>559</v>
      </c>
      <c r="E122" s="119" t="s">
        <v>38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284</v>
      </c>
      <c r="C123" s="48"/>
      <c r="D123" s="117" t="s">
        <v>559</v>
      </c>
      <c r="E123" s="119" t="s">
        <v>38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855</v>
      </c>
      <c r="D124" s="117" t="s">
        <v>559</v>
      </c>
      <c r="E124" s="119" t="s">
        <v>41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287</v>
      </c>
      <c r="C125" s="166"/>
      <c r="D125" s="117" t="s">
        <v>1639</v>
      </c>
      <c r="E125" s="119" t="s">
        <v>502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288</v>
      </c>
      <c r="C126" s="117"/>
      <c r="D126" s="117" t="s">
        <v>560</v>
      </c>
      <c r="E126" s="119" t="s">
        <v>215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290</v>
      </c>
      <c r="C127" s="117"/>
      <c r="D127" s="117" t="s">
        <v>1476</v>
      </c>
      <c r="E127" s="119" t="s">
        <v>215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1638</v>
      </c>
      <c r="C128" s="116"/>
      <c r="D128" s="117" t="s">
        <v>1639</v>
      </c>
      <c r="E128" s="119" t="s">
        <v>503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120</v>
      </c>
      <c r="C129" s="129"/>
      <c r="D129" s="162" t="s">
        <v>1618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1672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1673</v>
      </c>
      <c r="C132" s="117"/>
      <c r="D132" s="117" t="s">
        <v>1674</v>
      </c>
      <c r="E132" s="119" t="s">
        <v>124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856</v>
      </c>
      <c r="C133" s="117"/>
      <c r="D133" s="117" t="s">
        <v>857</v>
      </c>
      <c r="E133" s="119" t="s">
        <v>124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858</v>
      </c>
      <c r="C134" s="166"/>
      <c r="D134" s="117" t="s">
        <v>859</v>
      </c>
      <c r="E134" s="119" t="s">
        <v>35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304</v>
      </c>
      <c r="C135" s="137"/>
      <c r="D135" s="4" t="s">
        <v>1675</v>
      </c>
      <c r="E135" s="16" t="s">
        <v>38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1676</v>
      </c>
      <c r="C136" s="137"/>
      <c r="D136" s="4" t="s">
        <v>1677</v>
      </c>
      <c r="E136" s="16" t="s">
        <v>38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306</v>
      </c>
      <c r="C137" s="117"/>
      <c r="D137" s="117" t="s">
        <v>860</v>
      </c>
      <c r="E137" s="119" t="s">
        <v>212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308</v>
      </c>
      <c r="C138" s="117"/>
      <c r="D138" s="43" t="s">
        <v>312</v>
      </c>
      <c r="E138" s="119" t="s">
        <v>212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310</v>
      </c>
      <c r="C139" s="117"/>
      <c r="D139" s="43" t="s">
        <v>312</v>
      </c>
      <c r="E139" s="119" t="s">
        <v>212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227</v>
      </c>
      <c r="C140" s="117"/>
      <c r="D140" s="43" t="s">
        <v>862</v>
      </c>
      <c r="E140" s="119" t="s">
        <v>215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229</v>
      </c>
      <c r="C141" s="116"/>
      <c r="D141" s="117" t="s">
        <v>861</v>
      </c>
      <c r="E141" s="119" t="s">
        <v>131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313</v>
      </c>
      <c r="C142" s="117"/>
      <c r="D142" s="117" t="s">
        <v>861</v>
      </c>
      <c r="E142" s="119" t="s">
        <v>131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314</v>
      </c>
      <c r="C143" s="116"/>
      <c r="D143" s="43" t="s">
        <v>862</v>
      </c>
      <c r="E143" s="119" t="s">
        <v>131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316</v>
      </c>
      <c r="C144" s="116"/>
      <c r="D144" s="43" t="s">
        <v>864</v>
      </c>
      <c r="E144" s="119" t="s">
        <v>151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318</v>
      </c>
      <c r="C145" s="116"/>
      <c r="D145" s="117" t="s">
        <v>1478</v>
      </c>
      <c r="E145" s="119" t="s">
        <v>77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61</v>
      </c>
      <c r="C146" s="116"/>
      <c r="D146" s="117" t="s">
        <v>346</v>
      </c>
      <c r="E146" s="119" t="s">
        <v>151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1678</v>
      </c>
      <c r="C147" s="116"/>
      <c r="D147" s="43" t="s">
        <v>864</v>
      </c>
      <c r="E147" s="119" t="s">
        <v>74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919</v>
      </c>
      <c r="C148" s="116"/>
      <c r="D148" s="43" t="s">
        <v>864</v>
      </c>
      <c r="E148" s="119" t="s">
        <v>74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325</v>
      </c>
      <c r="C149" s="116"/>
      <c r="D149" s="43" t="s">
        <v>864</v>
      </c>
      <c r="E149" s="119" t="s">
        <v>74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330</v>
      </c>
      <c r="C150" s="116"/>
      <c r="D150" s="117" t="s">
        <v>346</v>
      </c>
      <c r="E150" s="119" t="s">
        <v>105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332</v>
      </c>
      <c r="C151" s="116"/>
      <c r="D151" s="117" t="s">
        <v>1679</v>
      </c>
      <c r="E151" s="119" t="s">
        <v>105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334</v>
      </c>
      <c r="C152" s="116"/>
      <c r="D152" s="117" t="s">
        <v>346</v>
      </c>
      <c r="E152" s="119" t="s">
        <v>105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335</v>
      </c>
      <c r="C153" s="116"/>
      <c r="D153" s="117" t="s">
        <v>568</v>
      </c>
      <c r="E153" s="119" t="s">
        <v>105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337</v>
      </c>
      <c r="C154" s="116"/>
      <c r="D154" s="117" t="s">
        <v>348</v>
      </c>
      <c r="E154" s="119" t="s">
        <v>1659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1640</v>
      </c>
      <c r="C155" s="116"/>
      <c r="D155" s="117" t="s">
        <v>346</v>
      </c>
      <c r="E155" s="119" t="s">
        <v>276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221</v>
      </c>
      <c r="C156" s="116"/>
      <c r="D156" s="117" t="s">
        <v>348</v>
      </c>
      <c r="E156" s="119" t="s">
        <v>276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345</v>
      </c>
      <c r="C157" s="116"/>
      <c r="D157" s="117" t="s">
        <v>346</v>
      </c>
      <c r="E157" s="119" t="s">
        <v>276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361</v>
      </c>
      <c r="C158" s="117"/>
      <c r="D158" s="117" t="s">
        <v>362</v>
      </c>
      <c r="E158" s="119" t="s">
        <v>510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364</v>
      </c>
      <c r="C159" s="117"/>
      <c r="D159" s="117" t="s">
        <v>362</v>
      </c>
      <c r="E159" s="119" t="s">
        <v>510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570</v>
      </c>
      <c r="C160" s="117"/>
      <c r="D160" s="117" t="s">
        <v>362</v>
      </c>
      <c r="E160" s="119" t="s">
        <v>510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1187</v>
      </c>
      <c r="C161" s="117"/>
      <c r="D161" s="117" t="s">
        <v>362</v>
      </c>
      <c r="E161" s="119" t="s">
        <v>510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1185</v>
      </c>
      <c r="C162" s="117"/>
      <c r="D162" s="117" t="s">
        <v>362</v>
      </c>
      <c r="E162" s="119" t="s">
        <v>510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365</v>
      </c>
      <c r="C163" s="117"/>
      <c r="D163" s="117" t="s">
        <v>362</v>
      </c>
      <c r="E163" s="119" t="s">
        <v>510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366</v>
      </c>
      <c r="C164" s="117"/>
      <c r="D164" s="117" t="s">
        <v>362</v>
      </c>
      <c r="E164" s="119" t="s">
        <v>510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367</v>
      </c>
      <c r="C165" s="117"/>
      <c r="D165" s="117" t="s">
        <v>393</v>
      </c>
      <c r="E165" s="119" t="s">
        <v>1680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369</v>
      </c>
      <c r="C166" s="117"/>
      <c r="D166" s="117" t="s">
        <v>393</v>
      </c>
      <c r="E166" s="119" t="s">
        <v>1680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1619</v>
      </c>
      <c r="C167" s="117"/>
      <c r="D167" s="117" t="s">
        <v>393</v>
      </c>
      <c r="E167" s="119" t="s">
        <v>1680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370</v>
      </c>
      <c r="C168" s="43"/>
      <c r="D168" s="117" t="s">
        <v>393</v>
      </c>
      <c r="E168" s="119" t="s">
        <v>1680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371</v>
      </c>
      <c r="C169" s="116"/>
      <c r="D169" s="117" t="s">
        <v>393</v>
      </c>
      <c r="E169" s="119" t="s">
        <v>1680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372</v>
      </c>
      <c r="C170" s="43"/>
      <c r="D170" s="117" t="s">
        <v>393</v>
      </c>
      <c r="E170" s="119" t="s">
        <v>1680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359</v>
      </c>
      <c r="C171" s="43"/>
      <c r="D171" s="117" t="s">
        <v>393</v>
      </c>
      <c r="E171" s="119" t="s">
        <v>1680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373</v>
      </c>
      <c r="C172" s="116"/>
      <c r="D172" s="117" t="s">
        <v>393</v>
      </c>
      <c r="E172" s="119" t="s">
        <v>408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376</v>
      </c>
      <c r="C173" s="116"/>
      <c r="D173" s="117" t="s">
        <v>393</v>
      </c>
      <c r="E173" s="119" t="s">
        <v>408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377</v>
      </c>
      <c r="C174" s="43"/>
      <c r="D174" s="117" t="s">
        <v>393</v>
      </c>
      <c r="E174" s="119" t="s">
        <v>512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379</v>
      </c>
      <c r="C175" s="116"/>
      <c r="D175" s="117" t="s">
        <v>393</v>
      </c>
      <c r="E175" s="119" t="s">
        <v>396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382</v>
      </c>
      <c r="C176" s="116"/>
      <c r="D176" s="117" t="s">
        <v>390</v>
      </c>
      <c r="E176" s="119" t="s">
        <v>1681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383</v>
      </c>
      <c r="C177" s="116"/>
      <c r="D177" s="117" t="s">
        <v>390</v>
      </c>
      <c r="E177" s="119" t="s">
        <v>1681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384</v>
      </c>
      <c r="C178" s="116"/>
      <c r="D178" s="117" t="s">
        <v>390</v>
      </c>
      <c r="E178" s="119" t="s">
        <v>1681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385</v>
      </c>
      <c r="C179" s="116"/>
      <c r="D179" s="117" t="s">
        <v>390</v>
      </c>
      <c r="E179" s="119" t="s">
        <v>1681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386</v>
      </c>
      <c r="C180" s="116"/>
      <c r="D180" s="117" t="s">
        <v>390</v>
      </c>
      <c r="E180" s="119" t="s">
        <v>1681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572</v>
      </c>
      <c r="C181" s="168"/>
      <c r="D181" s="117" t="s">
        <v>390</v>
      </c>
      <c r="E181" s="119" t="s">
        <v>403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392</v>
      </c>
      <c r="C182" s="170"/>
      <c r="D182" s="117" t="s">
        <v>390</v>
      </c>
      <c r="E182" s="119" t="s">
        <v>403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360</v>
      </c>
      <c r="C183" s="171"/>
      <c r="D183" s="117" t="s">
        <v>390</v>
      </c>
      <c r="E183" s="119" t="s">
        <v>403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387</v>
      </c>
      <c r="C184" s="171"/>
      <c r="D184" s="117" t="s">
        <v>390</v>
      </c>
      <c r="E184" s="119" t="s">
        <v>398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397</v>
      </c>
      <c r="C185" s="171"/>
      <c r="D185" s="117" t="s">
        <v>390</v>
      </c>
      <c r="E185" s="119" t="s">
        <v>865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389</v>
      </c>
      <c r="C186" s="171"/>
      <c r="D186" s="117" t="s">
        <v>390</v>
      </c>
      <c r="E186" s="119" t="s">
        <v>398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120</v>
      </c>
      <c r="D187" s="172" t="s">
        <v>1620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411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1683</v>
      </c>
      <c r="E190" s="180"/>
      <c r="F190" s="180"/>
      <c r="G190" s="180"/>
      <c r="H190" s="180"/>
      <c r="I190" s="180"/>
      <c r="J190" s="180"/>
      <c r="K190" s="176" t="s">
        <v>1707</v>
      </c>
      <c r="L190" s="176"/>
      <c r="M190" s="176"/>
      <c r="N190" s="176"/>
      <c r="O190" s="176"/>
      <c r="P190" s="176" t="s">
        <v>1708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1709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597</v>
      </c>
      <c r="F4" s="80" t="s">
        <v>1452</v>
      </c>
      <c r="G4" s="80" t="s">
        <v>1453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</v>
      </c>
      <c r="C6" s="83" t="s">
        <v>24</v>
      </c>
      <c r="D6" s="12" t="s">
        <v>25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1521</v>
      </c>
      <c r="C7" s="86" t="s">
        <v>1604</v>
      </c>
      <c r="D7" s="10" t="s">
        <v>35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1605</v>
      </c>
      <c r="C8" s="86" t="s">
        <v>1606</v>
      </c>
      <c r="D8" s="10" t="s">
        <v>207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26</v>
      </c>
      <c r="C9" s="83" t="s">
        <v>27</v>
      </c>
      <c r="D9" s="10" t="s">
        <v>1653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29</v>
      </c>
      <c r="C10" s="86" t="s">
        <v>30</v>
      </c>
      <c r="D10" s="15" t="s">
        <v>506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225</v>
      </c>
      <c r="C11" s="86" t="s">
        <v>1523</v>
      </c>
      <c r="D11" s="16" t="s">
        <v>506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31</v>
      </c>
      <c r="C12" s="87" t="s">
        <v>32</v>
      </c>
      <c r="D12" s="16" t="s">
        <v>506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301</v>
      </c>
      <c r="C13" s="86" t="s">
        <v>832</v>
      </c>
      <c r="D13" s="16" t="s">
        <v>506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33</v>
      </c>
      <c r="C14" s="83" t="s">
        <v>835</v>
      </c>
      <c r="D14" s="15" t="s">
        <v>38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183</v>
      </c>
      <c r="C15" s="83" t="s">
        <v>851</v>
      </c>
      <c r="D15" s="10" t="s">
        <v>1461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1607</v>
      </c>
      <c r="C16" s="86" t="s">
        <v>1608</v>
      </c>
      <c r="D16" s="16" t="s">
        <v>212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1524</v>
      </c>
      <c r="C17" s="86" t="s">
        <v>547</v>
      </c>
      <c r="D17" s="10" t="s">
        <v>212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1609</v>
      </c>
      <c r="C18" s="86" t="s">
        <v>1610</v>
      </c>
      <c r="D18" s="10" t="s">
        <v>212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39</v>
      </c>
      <c r="C19" s="86" t="s">
        <v>547</v>
      </c>
      <c r="D19" s="15" t="s">
        <v>212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50</v>
      </c>
      <c r="C20" s="83" t="s">
        <v>60</v>
      </c>
      <c r="D20" s="15" t="s">
        <v>63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53</v>
      </c>
      <c r="C21" s="86" t="s">
        <v>54</v>
      </c>
      <c r="D21" s="15" t="s">
        <v>926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190</v>
      </c>
      <c r="C22" s="83" t="s">
        <v>854</v>
      </c>
      <c r="D22" s="15" t="s">
        <v>131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64</v>
      </c>
      <c r="C23" s="83" t="s">
        <v>176</v>
      </c>
      <c r="D23" s="15" t="s">
        <v>504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257</v>
      </c>
      <c r="C24" s="86" t="s">
        <v>258</v>
      </c>
      <c r="D24" s="15" t="s">
        <v>504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320</v>
      </c>
      <c r="C25" s="86" t="s">
        <v>1626</v>
      </c>
      <c r="D25" s="15" t="s">
        <v>77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1611</v>
      </c>
      <c r="C26" s="83" t="s">
        <v>104</v>
      </c>
      <c r="D26" s="15" t="s">
        <v>74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485</v>
      </c>
      <c r="C27" s="86" t="s">
        <v>94</v>
      </c>
      <c r="D27" s="10" t="s">
        <v>344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78</v>
      </c>
      <c r="C28" s="83" t="s">
        <v>94</v>
      </c>
      <c r="D28" s="15" t="s">
        <v>344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1525</v>
      </c>
      <c r="C29" s="83" t="s">
        <v>1526</v>
      </c>
      <c r="D29" s="15" t="s">
        <v>344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83</v>
      </c>
      <c r="C30" s="83" t="s">
        <v>1473</v>
      </c>
      <c r="D30" s="15" t="s">
        <v>1659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234</v>
      </c>
      <c r="C31" s="87" t="s">
        <v>1628</v>
      </c>
      <c r="D31" s="15" t="s">
        <v>108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86</v>
      </c>
      <c r="C32" s="86" t="s">
        <v>1527</v>
      </c>
      <c r="D32" s="10" t="s">
        <v>108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91</v>
      </c>
      <c r="C33" s="87" t="s">
        <v>550</v>
      </c>
      <c r="D33" s="15" t="s">
        <v>344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1710</v>
      </c>
      <c r="C34" s="87" t="s">
        <v>550</v>
      </c>
      <c r="D34" s="15" t="s">
        <v>276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95</v>
      </c>
      <c r="C35" s="86" t="s">
        <v>1629</v>
      </c>
      <c r="D35" s="10" t="s">
        <v>276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1454</v>
      </c>
      <c r="C36" s="83" t="s">
        <v>104</v>
      </c>
      <c r="D36" s="15" t="s">
        <v>276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1612</v>
      </c>
      <c r="C37" s="83" t="s">
        <v>104</v>
      </c>
      <c r="D37" s="15" t="s">
        <v>276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120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121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122</v>
      </c>
      <c r="C41" s="86" t="s">
        <v>123</v>
      </c>
      <c r="D41" s="10" t="s">
        <v>140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127</v>
      </c>
      <c r="C42" s="86" t="s">
        <v>1064</v>
      </c>
      <c r="D42" s="10" t="s">
        <v>276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137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837</v>
      </c>
      <c r="C46" s="86" t="s">
        <v>838</v>
      </c>
      <c r="D46" s="10" t="s">
        <v>124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839</v>
      </c>
      <c r="C47" s="86" t="s">
        <v>43</v>
      </c>
      <c r="D47" s="10" t="s">
        <v>38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138</v>
      </c>
      <c r="C48" s="86" t="s">
        <v>142</v>
      </c>
      <c r="D48" s="10" t="s">
        <v>38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141</v>
      </c>
      <c r="C49" s="86" t="s">
        <v>142</v>
      </c>
      <c r="D49" s="10" t="s">
        <v>49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143</v>
      </c>
      <c r="C50" s="86" t="s">
        <v>142</v>
      </c>
      <c r="D50" s="10" t="s">
        <v>41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144</v>
      </c>
      <c r="C51" s="86" t="s">
        <v>45</v>
      </c>
      <c r="D51" s="10" t="s">
        <v>212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145</v>
      </c>
      <c r="C52" s="86" t="s">
        <v>51</v>
      </c>
      <c r="D52" s="16" t="s">
        <v>212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1530</v>
      </c>
      <c r="C53" s="86" t="s">
        <v>51</v>
      </c>
      <c r="D53" s="10" t="s">
        <v>52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44</v>
      </c>
      <c r="C54" s="86" t="s">
        <v>852</v>
      </c>
      <c r="D54" s="10" t="s">
        <v>215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153</v>
      </c>
      <c r="C55" s="86" t="s">
        <v>150</v>
      </c>
      <c r="D55" s="10" t="s">
        <v>344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840</v>
      </c>
      <c r="C56" s="86" t="s">
        <v>150</v>
      </c>
      <c r="D56" s="10" t="s">
        <v>344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154</v>
      </c>
      <c r="C57" s="86" t="s">
        <v>150</v>
      </c>
      <c r="D57" s="10" t="s">
        <v>344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120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156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841</v>
      </c>
      <c r="C61" s="83" t="s">
        <v>158</v>
      </c>
      <c r="D61" s="15" t="s">
        <v>124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120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162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842</v>
      </c>
      <c r="C65" s="87" t="s">
        <v>843</v>
      </c>
      <c r="D65" s="10" t="s">
        <v>124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844</v>
      </c>
      <c r="C66" s="87" t="s">
        <v>845</v>
      </c>
      <c r="D66" s="15" t="s">
        <v>1461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165</v>
      </c>
      <c r="C67" s="86" t="s">
        <v>167</v>
      </c>
      <c r="D67" s="10" t="s">
        <v>215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846</v>
      </c>
      <c r="C68" s="87" t="s">
        <v>167</v>
      </c>
      <c r="D68" s="15" t="s">
        <v>63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847</v>
      </c>
      <c r="C69" s="87" t="s">
        <v>51</v>
      </c>
      <c r="D69" s="15" t="s">
        <v>212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169</v>
      </c>
      <c r="C70" s="86" t="s">
        <v>150</v>
      </c>
      <c r="D70" s="10" t="s">
        <v>1662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1538</v>
      </c>
      <c r="C71" s="87" t="s">
        <v>71</v>
      </c>
      <c r="D71" s="15" t="s">
        <v>131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171</v>
      </c>
      <c r="C72" s="87" t="s">
        <v>71</v>
      </c>
      <c r="D72" s="15" t="s">
        <v>504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172</v>
      </c>
      <c r="C73" s="87" t="s">
        <v>71</v>
      </c>
      <c r="D73" s="15" t="s">
        <v>504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173</v>
      </c>
      <c r="C74" s="86" t="s">
        <v>553</v>
      </c>
      <c r="D74" s="10" t="s">
        <v>504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1613</v>
      </c>
      <c r="C75" s="87" t="s">
        <v>150</v>
      </c>
      <c r="D75" s="10" t="s">
        <v>80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81</v>
      </c>
      <c r="C76" s="87" t="s">
        <v>68</v>
      </c>
      <c r="D76" s="10" t="s">
        <v>344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67</v>
      </c>
      <c r="C77" s="87" t="s">
        <v>68</v>
      </c>
      <c r="D77" s="10" t="s">
        <v>276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120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180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181</v>
      </c>
      <c r="C81" s="86" t="s">
        <v>182</v>
      </c>
      <c r="D81" s="10" t="s">
        <v>124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848</v>
      </c>
      <c r="C82" s="86" t="s">
        <v>849</v>
      </c>
      <c r="D82" s="15" t="s">
        <v>1461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1614</v>
      </c>
      <c r="C83" s="86" t="s">
        <v>1615</v>
      </c>
      <c r="D83" s="15" t="s">
        <v>1461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187</v>
      </c>
      <c r="C84" s="86" t="s">
        <v>1474</v>
      </c>
      <c r="D84" s="15" t="s">
        <v>215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194</v>
      </c>
      <c r="C85" s="86" t="s">
        <v>179</v>
      </c>
      <c r="D85" s="10" t="s">
        <v>80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120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202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1665</v>
      </c>
      <c r="C89" s="86" t="s">
        <v>1632</v>
      </c>
      <c r="D89" s="10" t="s">
        <v>207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205</v>
      </c>
      <c r="C90" s="86" t="s">
        <v>142</v>
      </c>
      <c r="D90" s="10" t="s">
        <v>38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203</v>
      </c>
      <c r="C91" s="86" t="s">
        <v>142</v>
      </c>
      <c r="D91" s="10" t="s">
        <v>38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163</v>
      </c>
      <c r="C92" s="86" t="s">
        <v>51</v>
      </c>
      <c r="D92" s="10" t="s">
        <v>46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208</v>
      </c>
      <c r="C93" s="86" t="s">
        <v>45</v>
      </c>
      <c r="D93" s="10" t="s">
        <v>212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209</v>
      </c>
      <c r="C94" s="86" t="s">
        <v>852</v>
      </c>
      <c r="D94" s="15" t="s">
        <v>215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210</v>
      </c>
      <c r="C95" s="83" t="s">
        <v>167</v>
      </c>
      <c r="D95" s="15" t="s">
        <v>63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211</v>
      </c>
      <c r="C96" s="83" t="s">
        <v>167</v>
      </c>
      <c r="D96" s="15" t="s">
        <v>63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213</v>
      </c>
      <c r="C97" s="87" t="s">
        <v>71</v>
      </c>
      <c r="D97" s="15" t="s">
        <v>504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217</v>
      </c>
      <c r="C98" s="86" t="s">
        <v>218</v>
      </c>
      <c r="D98" s="10" t="s">
        <v>80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221</v>
      </c>
      <c r="C99" s="87" t="s">
        <v>222</v>
      </c>
      <c r="D99" s="15" t="s">
        <v>276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120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1711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833</v>
      </c>
      <c r="C103" s="95" t="s">
        <v>834</v>
      </c>
      <c r="D103" s="15" t="s">
        <v>207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36</v>
      </c>
      <c r="C104" s="86" t="s">
        <v>228</v>
      </c>
      <c r="D104" s="10" t="s">
        <v>212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1633</v>
      </c>
      <c r="C105" s="86" t="s">
        <v>1634</v>
      </c>
      <c r="D105" s="15" t="s">
        <v>63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233</v>
      </c>
      <c r="C106" s="86" t="s">
        <v>555</v>
      </c>
      <c r="D106" s="15" t="s">
        <v>504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120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237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556</v>
      </c>
      <c r="C110" s="83" t="s">
        <v>239</v>
      </c>
      <c r="D110" s="15" t="s">
        <v>124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240</v>
      </c>
      <c r="C111" s="86" t="s">
        <v>241</v>
      </c>
      <c r="D111" s="16" t="s">
        <v>506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242</v>
      </c>
      <c r="C112" s="86" t="s">
        <v>557</v>
      </c>
      <c r="D112" s="10" t="s">
        <v>55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244</v>
      </c>
      <c r="C113" s="86" t="s">
        <v>557</v>
      </c>
      <c r="D113" s="10" t="s">
        <v>502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247</v>
      </c>
      <c r="C114" s="86" t="s">
        <v>248</v>
      </c>
      <c r="D114" s="15" t="s">
        <v>105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250</v>
      </c>
      <c r="C115" s="86" t="s">
        <v>248</v>
      </c>
      <c r="D115" s="10" t="s">
        <v>108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251</v>
      </c>
      <c r="C116" s="86" t="s">
        <v>248</v>
      </c>
      <c r="D116" s="15" t="s">
        <v>276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120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279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280</v>
      </c>
      <c r="C120" s="83" t="s">
        <v>281</v>
      </c>
      <c r="D120" s="15" t="s">
        <v>124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1636</v>
      </c>
      <c r="C121" s="83" t="s">
        <v>1637</v>
      </c>
      <c r="D121" s="15" t="s">
        <v>35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282</v>
      </c>
      <c r="C122" s="83" t="s">
        <v>559</v>
      </c>
      <c r="D122" s="15" t="s">
        <v>38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284</v>
      </c>
      <c r="C123" s="83" t="s">
        <v>559</v>
      </c>
      <c r="D123" s="15" t="s">
        <v>38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855</v>
      </c>
      <c r="C124" s="83" t="s">
        <v>559</v>
      </c>
      <c r="D124" s="15" t="s">
        <v>41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287</v>
      </c>
      <c r="C125" s="83" t="s">
        <v>289</v>
      </c>
      <c r="D125" s="15" t="s">
        <v>52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288</v>
      </c>
      <c r="C126" s="83" t="s">
        <v>560</v>
      </c>
      <c r="D126" s="15" t="s">
        <v>215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290</v>
      </c>
      <c r="C127" s="83" t="s">
        <v>1476</v>
      </c>
      <c r="D127" s="15" t="s">
        <v>215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1638</v>
      </c>
      <c r="C128" s="83" t="s">
        <v>1639</v>
      </c>
      <c r="D128" s="15" t="s">
        <v>503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293</v>
      </c>
      <c r="C129" s="83" t="s">
        <v>561</v>
      </c>
      <c r="D129" s="10" t="s">
        <v>344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295</v>
      </c>
      <c r="C130" s="83" t="s">
        <v>296</v>
      </c>
      <c r="D130" s="15" t="s">
        <v>276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120</v>
      </c>
      <c r="C131" s="99" t="s">
        <v>826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300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856</v>
      </c>
      <c r="C134" s="83" t="s">
        <v>1712</v>
      </c>
      <c r="D134" s="15" t="s">
        <v>124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858</v>
      </c>
      <c r="C135" s="83" t="s">
        <v>859</v>
      </c>
      <c r="D135" s="15" t="s">
        <v>35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304</v>
      </c>
      <c r="C136" s="86" t="s">
        <v>305</v>
      </c>
      <c r="D136" s="16" t="s">
        <v>506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306</v>
      </c>
      <c r="C137" s="83" t="s">
        <v>860</v>
      </c>
      <c r="D137" s="15" t="s">
        <v>212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308</v>
      </c>
      <c r="C138" s="86" t="s">
        <v>312</v>
      </c>
      <c r="D138" s="15" t="s">
        <v>212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227</v>
      </c>
      <c r="C139" s="86" t="s">
        <v>862</v>
      </c>
      <c r="D139" s="15" t="s">
        <v>215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229</v>
      </c>
      <c r="C140" s="83" t="s">
        <v>861</v>
      </c>
      <c r="D140" s="15" t="s">
        <v>131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313</v>
      </c>
      <c r="C141" s="83" t="s">
        <v>861</v>
      </c>
      <c r="D141" s="15" t="s">
        <v>131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314</v>
      </c>
      <c r="C142" s="86" t="s">
        <v>862</v>
      </c>
      <c r="D142" s="15" t="s">
        <v>131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316</v>
      </c>
      <c r="C143" s="83" t="s">
        <v>863</v>
      </c>
      <c r="D143" s="15" t="s">
        <v>504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318</v>
      </c>
      <c r="C144" s="83" t="s">
        <v>1478</v>
      </c>
      <c r="D144" s="15" t="s">
        <v>77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61</v>
      </c>
      <c r="C145" s="83" t="s">
        <v>863</v>
      </c>
      <c r="D145" s="15" t="s">
        <v>504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322</v>
      </c>
      <c r="C146" s="86" t="s">
        <v>864</v>
      </c>
      <c r="D146" s="15" t="s">
        <v>74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323</v>
      </c>
      <c r="C147" s="86" t="s">
        <v>864</v>
      </c>
      <c r="D147" s="15" t="s">
        <v>74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325</v>
      </c>
      <c r="C148" s="86" t="s">
        <v>864</v>
      </c>
      <c r="D148" s="15" t="s">
        <v>74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326</v>
      </c>
      <c r="C149" s="83" t="s">
        <v>327</v>
      </c>
      <c r="D149" s="15" t="s">
        <v>80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1462</v>
      </c>
      <c r="C150" s="83" t="s">
        <v>329</v>
      </c>
      <c r="D150" s="10" t="s">
        <v>344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330</v>
      </c>
      <c r="C151" s="83" t="s">
        <v>565</v>
      </c>
      <c r="D151" s="15" t="s">
        <v>80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332</v>
      </c>
      <c r="C152" s="83" t="s">
        <v>566</v>
      </c>
      <c r="D152" s="15" t="s">
        <v>344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334</v>
      </c>
      <c r="C153" s="83" t="s">
        <v>567</v>
      </c>
      <c r="D153" s="15" t="s">
        <v>80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335</v>
      </c>
      <c r="C154" s="83" t="s">
        <v>568</v>
      </c>
      <c r="D154" s="15" t="s">
        <v>344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337</v>
      </c>
      <c r="C155" s="83" t="s">
        <v>348</v>
      </c>
      <c r="D155" s="15" t="s">
        <v>1659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1640</v>
      </c>
      <c r="C156" s="83" t="s">
        <v>346</v>
      </c>
      <c r="D156" s="15" t="s">
        <v>276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345</v>
      </c>
      <c r="C157" s="83" t="s">
        <v>346</v>
      </c>
      <c r="D157" s="15" t="s">
        <v>276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347</v>
      </c>
      <c r="C158" s="83" t="s">
        <v>348</v>
      </c>
      <c r="D158" s="15" t="s">
        <v>276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349</v>
      </c>
      <c r="C159" s="83" t="s">
        <v>350</v>
      </c>
      <c r="D159" s="15" t="s">
        <v>276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351</v>
      </c>
      <c r="C160" s="83" t="s">
        <v>569</v>
      </c>
      <c r="D160" s="15" t="s">
        <v>276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361</v>
      </c>
      <c r="C161" s="83" t="s">
        <v>362</v>
      </c>
      <c r="D161" s="15" t="s">
        <v>510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364</v>
      </c>
      <c r="C162" s="83" t="s">
        <v>362</v>
      </c>
      <c r="D162" s="15" t="s">
        <v>510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570</v>
      </c>
      <c r="C163" s="83" t="s">
        <v>362</v>
      </c>
      <c r="D163" s="15" t="s">
        <v>510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1187</v>
      </c>
      <c r="C164" s="83" t="s">
        <v>362</v>
      </c>
      <c r="D164" s="15" t="s">
        <v>510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1185</v>
      </c>
      <c r="C165" s="83" t="s">
        <v>362</v>
      </c>
      <c r="D165" s="15" t="s">
        <v>510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365</v>
      </c>
      <c r="C166" s="83" t="s">
        <v>362</v>
      </c>
      <c r="D166" s="15" t="s">
        <v>510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366</v>
      </c>
      <c r="C167" s="83" t="s">
        <v>362</v>
      </c>
      <c r="D167" s="15" t="s">
        <v>510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367</v>
      </c>
      <c r="C168" s="83" t="s">
        <v>362</v>
      </c>
      <c r="D168" s="15" t="s">
        <v>511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369</v>
      </c>
      <c r="C169" s="83" t="s">
        <v>362</v>
      </c>
      <c r="D169" s="15" t="s">
        <v>511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1619</v>
      </c>
      <c r="C170" s="83" t="s">
        <v>362</v>
      </c>
      <c r="D170" s="15" t="s">
        <v>511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370</v>
      </c>
      <c r="C171" s="83" t="s">
        <v>362</v>
      </c>
      <c r="D171" s="15" t="s">
        <v>511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371</v>
      </c>
      <c r="C172" s="83" t="s">
        <v>362</v>
      </c>
      <c r="D172" s="15" t="s">
        <v>511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372</v>
      </c>
      <c r="C173" s="83" t="s">
        <v>362</v>
      </c>
      <c r="D173" s="15" t="s">
        <v>511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359</v>
      </c>
      <c r="C174" s="83" t="s">
        <v>362</v>
      </c>
      <c r="D174" s="15" t="s">
        <v>511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373</v>
      </c>
      <c r="C175" s="83" t="s">
        <v>393</v>
      </c>
      <c r="D175" s="15" t="s">
        <v>408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376</v>
      </c>
      <c r="C176" s="83" t="s">
        <v>393</v>
      </c>
      <c r="D176" s="15" t="s">
        <v>408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377</v>
      </c>
      <c r="C177" s="83" t="s">
        <v>393</v>
      </c>
      <c r="D177" s="15" t="s">
        <v>512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379</v>
      </c>
      <c r="C178" s="83" t="s">
        <v>393</v>
      </c>
      <c r="D178" s="15" t="s">
        <v>396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382</v>
      </c>
      <c r="C179" s="83" t="s">
        <v>390</v>
      </c>
      <c r="D179" s="15" t="s">
        <v>1681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383</v>
      </c>
      <c r="C180" s="83" t="s">
        <v>390</v>
      </c>
      <c r="D180" s="15" t="s">
        <v>1681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384</v>
      </c>
      <c r="C181" s="83" t="s">
        <v>390</v>
      </c>
      <c r="D181" s="15" t="s">
        <v>1681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385</v>
      </c>
      <c r="C182" s="83" t="s">
        <v>390</v>
      </c>
      <c r="D182" s="15" t="s">
        <v>1681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386</v>
      </c>
      <c r="C183" s="83" t="s">
        <v>390</v>
      </c>
      <c r="D183" s="15" t="s">
        <v>1681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387</v>
      </c>
      <c r="C184" s="83" t="s">
        <v>390</v>
      </c>
      <c r="D184" s="15" t="s">
        <v>398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389</v>
      </c>
      <c r="C185" s="83" t="s">
        <v>390</v>
      </c>
      <c r="D185" s="15" t="s">
        <v>398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572</v>
      </c>
      <c r="C186" s="83" t="s">
        <v>393</v>
      </c>
      <c r="D186" s="15" t="s">
        <v>398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392</v>
      </c>
      <c r="C187" s="83" t="s">
        <v>393</v>
      </c>
      <c r="D187" s="15" t="s">
        <v>398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360</v>
      </c>
      <c r="C188" s="83" t="s">
        <v>390</v>
      </c>
      <c r="D188" s="15" t="s">
        <v>403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397</v>
      </c>
      <c r="C189" s="83" t="s">
        <v>390</v>
      </c>
      <c r="D189" s="15" t="s">
        <v>865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120</v>
      </c>
      <c r="C190" s="100" t="s">
        <v>1713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411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1709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597</v>
      </c>
      <c r="F4" s="80" t="s">
        <v>1452</v>
      </c>
      <c r="G4" s="80" t="s">
        <v>1453</v>
      </c>
    </row>
    <row r="5" customHeight="1" spans="1:7">
      <c r="A5" s="9" t="s">
        <v>21</v>
      </c>
      <c r="B5" s="8" t="s">
        <v>22</v>
      </c>
      <c r="C5" s="81"/>
      <c r="D5" s="8"/>
      <c r="E5" s="82" t="s">
        <v>20</v>
      </c>
      <c r="F5" s="82" t="s">
        <v>20</v>
      </c>
      <c r="G5" s="82" t="s">
        <v>20</v>
      </c>
    </row>
    <row r="6" customHeight="1" spans="1:7">
      <c r="A6" s="10">
        <v>1</v>
      </c>
      <c r="B6" s="11" t="s">
        <v>23</v>
      </c>
      <c r="C6" s="83" t="s">
        <v>24</v>
      </c>
      <c r="D6" s="12" t="s">
        <v>25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1521</v>
      </c>
      <c r="C7" s="86" t="s">
        <v>1604</v>
      </c>
      <c r="D7" s="10" t="s">
        <v>35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1605</v>
      </c>
      <c r="C8" s="86" t="s">
        <v>1606</v>
      </c>
      <c r="D8" s="10" t="s">
        <v>207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26</v>
      </c>
      <c r="C9" s="83" t="s">
        <v>27</v>
      </c>
      <c r="D9" s="10" t="s">
        <v>1653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29</v>
      </c>
      <c r="C10" s="86" t="s">
        <v>30</v>
      </c>
      <c r="D10" s="15" t="s">
        <v>506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225</v>
      </c>
      <c r="C11" s="86" t="s">
        <v>1523</v>
      </c>
      <c r="D11" s="16" t="s">
        <v>506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31</v>
      </c>
      <c r="C12" s="87" t="s">
        <v>32</v>
      </c>
      <c r="D12" s="16" t="s">
        <v>506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301</v>
      </c>
      <c r="C13" s="86" t="s">
        <v>832</v>
      </c>
      <c r="D13" s="16" t="s">
        <v>506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33</v>
      </c>
      <c r="C14" s="83" t="s">
        <v>835</v>
      </c>
      <c r="D14" s="15" t="s">
        <v>38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183</v>
      </c>
      <c r="C15" s="83" t="s">
        <v>851</v>
      </c>
      <c r="D15" s="10" t="s">
        <v>1461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1607</v>
      </c>
      <c r="C16" s="86" t="s">
        <v>1608</v>
      </c>
      <c r="D16" s="16" t="s">
        <v>212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1524</v>
      </c>
      <c r="C17" s="86" t="s">
        <v>547</v>
      </c>
      <c r="D17" s="10" t="s">
        <v>212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1609</v>
      </c>
      <c r="C18" s="86" t="s">
        <v>1610</v>
      </c>
      <c r="D18" s="10" t="s">
        <v>212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39</v>
      </c>
      <c r="C19" s="86" t="s">
        <v>547</v>
      </c>
      <c r="D19" s="15" t="s">
        <v>212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50</v>
      </c>
      <c r="C20" s="83" t="s">
        <v>60</v>
      </c>
      <c r="D20" s="15" t="s">
        <v>63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53</v>
      </c>
      <c r="C21" s="86" t="s">
        <v>54</v>
      </c>
      <c r="D21" s="15" t="s">
        <v>926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190</v>
      </c>
      <c r="C22" s="83" t="s">
        <v>854</v>
      </c>
      <c r="D22" s="15" t="s">
        <v>131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64</v>
      </c>
      <c r="C23" s="83" t="s">
        <v>176</v>
      </c>
      <c r="D23" s="15" t="s">
        <v>504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257</v>
      </c>
      <c r="C24" s="86" t="s">
        <v>258</v>
      </c>
      <c r="D24" s="15" t="s">
        <v>504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320</v>
      </c>
      <c r="C25" s="86" t="s">
        <v>1626</v>
      </c>
      <c r="D25" s="15" t="s">
        <v>77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1611</v>
      </c>
      <c r="C26" s="83" t="s">
        <v>104</v>
      </c>
      <c r="D26" s="15" t="s">
        <v>74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485</v>
      </c>
      <c r="C27" s="86" t="s">
        <v>94</v>
      </c>
      <c r="D27" s="10" t="s">
        <v>344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78</v>
      </c>
      <c r="C28" s="83" t="s">
        <v>94</v>
      </c>
      <c r="D28" s="15" t="s">
        <v>344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1525</v>
      </c>
      <c r="C29" s="83" t="s">
        <v>1526</v>
      </c>
      <c r="D29" s="15" t="s">
        <v>344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83</v>
      </c>
      <c r="C30" s="83" t="s">
        <v>1473</v>
      </c>
      <c r="D30" s="15" t="s">
        <v>1659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234</v>
      </c>
      <c r="C31" s="87" t="s">
        <v>1628</v>
      </c>
      <c r="D31" s="15" t="s">
        <v>108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86</v>
      </c>
      <c r="C32" s="86" t="s">
        <v>1527</v>
      </c>
      <c r="D32" s="10" t="s">
        <v>108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91</v>
      </c>
      <c r="C33" s="87" t="s">
        <v>550</v>
      </c>
      <c r="D33" s="15" t="s">
        <v>344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1710</v>
      </c>
      <c r="C34" s="87" t="s">
        <v>550</v>
      </c>
      <c r="D34" s="15" t="s">
        <v>276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95</v>
      </c>
      <c r="C35" s="86" t="s">
        <v>1629</v>
      </c>
      <c r="D35" s="10" t="s">
        <v>276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1454</v>
      </c>
      <c r="C36" s="83" t="s">
        <v>104</v>
      </c>
      <c r="D36" s="15" t="s">
        <v>276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1612</v>
      </c>
      <c r="C37" s="83" t="s">
        <v>104</v>
      </c>
      <c r="D37" s="15" t="s">
        <v>276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120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121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122</v>
      </c>
      <c r="C41" s="86" t="s">
        <v>123</v>
      </c>
      <c r="D41" s="10" t="s">
        <v>140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127</v>
      </c>
      <c r="C42" s="86" t="s">
        <v>1064</v>
      </c>
      <c r="D42" s="10" t="s">
        <v>276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137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837</v>
      </c>
      <c r="C46" s="86" t="s">
        <v>838</v>
      </c>
      <c r="D46" s="10" t="s">
        <v>124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839</v>
      </c>
      <c r="C47" s="86" t="s">
        <v>43</v>
      </c>
      <c r="D47" s="10" t="s">
        <v>38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138</v>
      </c>
      <c r="C48" s="86" t="s">
        <v>142</v>
      </c>
      <c r="D48" s="10" t="s">
        <v>38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141</v>
      </c>
      <c r="C49" s="86" t="s">
        <v>142</v>
      </c>
      <c r="D49" s="10" t="s">
        <v>49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143</v>
      </c>
      <c r="C50" s="86" t="s">
        <v>142</v>
      </c>
      <c r="D50" s="10" t="s">
        <v>41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144</v>
      </c>
      <c r="C51" s="86" t="s">
        <v>45</v>
      </c>
      <c r="D51" s="10" t="s">
        <v>212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145</v>
      </c>
      <c r="C52" s="86" t="s">
        <v>51</v>
      </c>
      <c r="D52" s="16" t="s">
        <v>212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1530</v>
      </c>
      <c r="C53" s="86" t="s">
        <v>51</v>
      </c>
      <c r="D53" s="10" t="s">
        <v>52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44</v>
      </c>
      <c r="C54" s="86" t="s">
        <v>852</v>
      </c>
      <c r="D54" s="10" t="s">
        <v>215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153</v>
      </c>
      <c r="C55" s="86" t="s">
        <v>150</v>
      </c>
      <c r="D55" s="10" t="s">
        <v>344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840</v>
      </c>
      <c r="C56" s="86" t="s">
        <v>150</v>
      </c>
      <c r="D56" s="10" t="s">
        <v>344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154</v>
      </c>
      <c r="C57" s="86" t="s">
        <v>150</v>
      </c>
      <c r="D57" s="10" t="s">
        <v>344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120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156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841</v>
      </c>
      <c r="C61" s="83" t="s">
        <v>158</v>
      </c>
      <c r="D61" s="15" t="s">
        <v>124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120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162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842</v>
      </c>
      <c r="C65" s="87" t="s">
        <v>843</v>
      </c>
      <c r="D65" s="10" t="s">
        <v>124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844</v>
      </c>
      <c r="C66" s="87" t="s">
        <v>845</v>
      </c>
      <c r="D66" s="15" t="s">
        <v>1461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165</v>
      </c>
      <c r="C67" s="86" t="s">
        <v>167</v>
      </c>
      <c r="D67" s="10" t="s">
        <v>215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846</v>
      </c>
      <c r="C68" s="87" t="s">
        <v>167</v>
      </c>
      <c r="D68" s="15" t="s">
        <v>63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847</v>
      </c>
      <c r="C69" s="87" t="s">
        <v>51</v>
      </c>
      <c r="D69" s="15" t="s">
        <v>212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169</v>
      </c>
      <c r="C70" s="86" t="s">
        <v>150</v>
      </c>
      <c r="D70" s="10" t="s">
        <v>1662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1538</v>
      </c>
      <c r="C71" s="87" t="s">
        <v>71</v>
      </c>
      <c r="D71" s="15" t="s">
        <v>131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171</v>
      </c>
      <c r="C72" s="87" t="s">
        <v>71</v>
      </c>
      <c r="D72" s="15" t="s">
        <v>504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172</v>
      </c>
      <c r="C73" s="87" t="s">
        <v>71</v>
      </c>
      <c r="D73" s="15" t="s">
        <v>504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173</v>
      </c>
      <c r="C74" s="86" t="s">
        <v>553</v>
      </c>
      <c r="D74" s="10" t="s">
        <v>504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1613</v>
      </c>
      <c r="C75" s="87" t="s">
        <v>150</v>
      </c>
      <c r="D75" s="10" t="s">
        <v>80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81</v>
      </c>
      <c r="C76" s="87" t="s">
        <v>68</v>
      </c>
      <c r="D76" s="10" t="s">
        <v>344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67</v>
      </c>
      <c r="C77" s="87" t="s">
        <v>68</v>
      </c>
      <c r="D77" s="10" t="s">
        <v>276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120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180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181</v>
      </c>
      <c r="C81" s="86" t="s">
        <v>182</v>
      </c>
      <c r="D81" s="10" t="s">
        <v>124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848</v>
      </c>
      <c r="C82" s="86" t="s">
        <v>849</v>
      </c>
      <c r="D82" s="15" t="s">
        <v>1461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1614</v>
      </c>
      <c r="C83" s="86" t="s">
        <v>1615</v>
      </c>
      <c r="D83" s="15" t="s">
        <v>1461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187</v>
      </c>
      <c r="C84" s="86" t="s">
        <v>1474</v>
      </c>
      <c r="D84" s="15" t="s">
        <v>215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194</v>
      </c>
      <c r="C85" s="86" t="s">
        <v>179</v>
      </c>
      <c r="D85" s="10" t="s">
        <v>80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120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202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1665</v>
      </c>
      <c r="C89" s="86" t="s">
        <v>1632</v>
      </c>
      <c r="D89" s="10" t="s">
        <v>207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205</v>
      </c>
      <c r="C90" s="86" t="s">
        <v>142</v>
      </c>
      <c r="D90" s="10" t="s">
        <v>38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203</v>
      </c>
      <c r="C91" s="86" t="s">
        <v>142</v>
      </c>
      <c r="D91" s="10" t="s">
        <v>38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163</v>
      </c>
      <c r="C92" s="86" t="s">
        <v>51</v>
      </c>
      <c r="D92" s="10" t="s">
        <v>46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208</v>
      </c>
      <c r="C93" s="86" t="s">
        <v>45</v>
      </c>
      <c r="D93" s="10" t="s">
        <v>212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209</v>
      </c>
      <c r="C94" s="86" t="s">
        <v>852</v>
      </c>
      <c r="D94" s="15" t="s">
        <v>215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210</v>
      </c>
      <c r="C95" s="83" t="s">
        <v>167</v>
      </c>
      <c r="D95" s="15" t="s">
        <v>63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211</v>
      </c>
      <c r="C96" s="83" t="s">
        <v>167</v>
      </c>
      <c r="D96" s="15" t="s">
        <v>63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213</v>
      </c>
      <c r="C97" s="87" t="s">
        <v>71</v>
      </c>
      <c r="D97" s="15" t="s">
        <v>504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217</v>
      </c>
      <c r="C98" s="86" t="s">
        <v>218</v>
      </c>
      <c r="D98" s="10" t="s">
        <v>80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221</v>
      </c>
      <c r="C99" s="87" t="s">
        <v>222</v>
      </c>
      <c r="D99" s="15" t="s">
        <v>276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120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1711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833</v>
      </c>
      <c r="C103" s="95" t="s">
        <v>834</v>
      </c>
      <c r="D103" s="15" t="s">
        <v>207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36</v>
      </c>
      <c r="C104" s="86" t="s">
        <v>228</v>
      </c>
      <c r="D104" s="10" t="s">
        <v>212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1633</v>
      </c>
      <c r="C105" s="86" t="s">
        <v>1634</v>
      </c>
      <c r="D105" s="15" t="s">
        <v>63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233</v>
      </c>
      <c r="C106" s="86" t="s">
        <v>555</v>
      </c>
      <c r="D106" s="15" t="s">
        <v>504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120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237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556</v>
      </c>
      <c r="C110" s="83" t="s">
        <v>239</v>
      </c>
      <c r="D110" s="15" t="s">
        <v>124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240</v>
      </c>
      <c r="C111" s="86" t="s">
        <v>241</v>
      </c>
      <c r="D111" s="16" t="s">
        <v>506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242</v>
      </c>
      <c r="C112" s="86" t="s">
        <v>557</v>
      </c>
      <c r="D112" s="10" t="s">
        <v>55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244</v>
      </c>
      <c r="C113" s="86" t="s">
        <v>557</v>
      </c>
      <c r="D113" s="10" t="s">
        <v>502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247</v>
      </c>
      <c r="C114" s="86" t="s">
        <v>248</v>
      </c>
      <c r="D114" s="15" t="s">
        <v>105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250</v>
      </c>
      <c r="C115" s="86" t="s">
        <v>248</v>
      </c>
      <c r="D115" s="10" t="s">
        <v>108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251</v>
      </c>
      <c r="C116" s="86" t="s">
        <v>248</v>
      </c>
      <c r="D116" s="15" t="s">
        <v>276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120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279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280</v>
      </c>
      <c r="C120" s="83" t="s">
        <v>281</v>
      </c>
      <c r="D120" s="15" t="s">
        <v>124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1636</v>
      </c>
      <c r="C121" s="83" t="s">
        <v>1637</v>
      </c>
      <c r="D121" s="15" t="s">
        <v>35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282</v>
      </c>
      <c r="C122" s="83" t="s">
        <v>559</v>
      </c>
      <c r="D122" s="15" t="s">
        <v>38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284</v>
      </c>
      <c r="C123" s="83" t="s">
        <v>559</v>
      </c>
      <c r="D123" s="15" t="s">
        <v>38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855</v>
      </c>
      <c r="C124" s="83" t="s">
        <v>559</v>
      </c>
      <c r="D124" s="15" t="s">
        <v>41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287</v>
      </c>
      <c r="C125" s="83" t="s">
        <v>289</v>
      </c>
      <c r="D125" s="15" t="s">
        <v>52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288</v>
      </c>
      <c r="C126" s="83" t="s">
        <v>560</v>
      </c>
      <c r="D126" s="15" t="s">
        <v>215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290</v>
      </c>
      <c r="C127" s="83" t="s">
        <v>1476</v>
      </c>
      <c r="D127" s="15" t="s">
        <v>215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1638</v>
      </c>
      <c r="C128" s="83" t="s">
        <v>1639</v>
      </c>
      <c r="D128" s="15" t="s">
        <v>503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293</v>
      </c>
      <c r="C129" s="83" t="s">
        <v>561</v>
      </c>
      <c r="D129" s="10" t="s">
        <v>344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295</v>
      </c>
      <c r="C130" s="83" t="s">
        <v>296</v>
      </c>
      <c r="D130" s="15" t="s">
        <v>276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120</v>
      </c>
      <c r="C131" s="99" t="s">
        <v>826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300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856</v>
      </c>
      <c r="C134" s="83" t="s">
        <v>1712</v>
      </c>
      <c r="D134" s="15" t="s">
        <v>124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858</v>
      </c>
      <c r="C135" s="83" t="s">
        <v>859</v>
      </c>
      <c r="D135" s="15" t="s">
        <v>35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304</v>
      </c>
      <c r="C136" s="86" t="s">
        <v>305</v>
      </c>
      <c r="D136" s="16" t="s">
        <v>506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306</v>
      </c>
      <c r="C137" s="83" t="s">
        <v>860</v>
      </c>
      <c r="D137" s="15" t="s">
        <v>212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308</v>
      </c>
      <c r="C138" s="86" t="s">
        <v>312</v>
      </c>
      <c r="D138" s="15" t="s">
        <v>212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227</v>
      </c>
      <c r="C139" s="86" t="s">
        <v>862</v>
      </c>
      <c r="D139" s="15" t="s">
        <v>215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229</v>
      </c>
      <c r="C140" s="83" t="s">
        <v>861</v>
      </c>
      <c r="D140" s="15" t="s">
        <v>131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313</v>
      </c>
      <c r="C141" s="83" t="s">
        <v>861</v>
      </c>
      <c r="D141" s="15" t="s">
        <v>131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314</v>
      </c>
      <c r="C142" s="86" t="s">
        <v>862</v>
      </c>
      <c r="D142" s="15" t="s">
        <v>131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316</v>
      </c>
      <c r="C143" s="83" t="s">
        <v>863</v>
      </c>
      <c r="D143" s="15" t="s">
        <v>504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318</v>
      </c>
      <c r="C144" s="83" t="s">
        <v>1478</v>
      </c>
      <c r="D144" s="15" t="s">
        <v>77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61</v>
      </c>
      <c r="C145" s="83" t="s">
        <v>863</v>
      </c>
      <c r="D145" s="15" t="s">
        <v>504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322</v>
      </c>
      <c r="C146" s="86" t="s">
        <v>864</v>
      </c>
      <c r="D146" s="15" t="s">
        <v>74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323</v>
      </c>
      <c r="C147" s="86" t="s">
        <v>864</v>
      </c>
      <c r="D147" s="15" t="s">
        <v>74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325</v>
      </c>
      <c r="C148" s="86" t="s">
        <v>864</v>
      </c>
      <c r="D148" s="15" t="s">
        <v>74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326</v>
      </c>
      <c r="C149" s="83" t="s">
        <v>327</v>
      </c>
      <c r="D149" s="15" t="s">
        <v>80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1462</v>
      </c>
      <c r="C150" s="83" t="s">
        <v>329</v>
      </c>
      <c r="D150" s="10" t="s">
        <v>344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330</v>
      </c>
      <c r="C151" s="83" t="s">
        <v>565</v>
      </c>
      <c r="D151" s="15" t="s">
        <v>80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332</v>
      </c>
      <c r="C152" s="83" t="s">
        <v>566</v>
      </c>
      <c r="D152" s="15" t="s">
        <v>344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334</v>
      </c>
      <c r="C153" s="83" t="s">
        <v>567</v>
      </c>
      <c r="D153" s="15" t="s">
        <v>80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335</v>
      </c>
      <c r="C154" s="83" t="s">
        <v>568</v>
      </c>
      <c r="D154" s="15" t="s">
        <v>344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337</v>
      </c>
      <c r="C155" s="83" t="s">
        <v>348</v>
      </c>
      <c r="D155" s="15" t="s">
        <v>1659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1640</v>
      </c>
      <c r="C156" s="83" t="s">
        <v>346</v>
      </c>
      <c r="D156" s="15" t="s">
        <v>276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345</v>
      </c>
      <c r="C157" s="83" t="s">
        <v>346</v>
      </c>
      <c r="D157" s="15" t="s">
        <v>276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347</v>
      </c>
      <c r="C158" s="83" t="s">
        <v>348</v>
      </c>
      <c r="D158" s="15" t="s">
        <v>276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349</v>
      </c>
      <c r="C159" s="83" t="s">
        <v>350</v>
      </c>
      <c r="D159" s="15" t="s">
        <v>276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351</v>
      </c>
      <c r="C160" s="83" t="s">
        <v>569</v>
      </c>
      <c r="D160" s="15" t="s">
        <v>276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361</v>
      </c>
      <c r="C161" s="83" t="s">
        <v>362</v>
      </c>
      <c r="D161" s="15" t="s">
        <v>510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364</v>
      </c>
      <c r="C162" s="83" t="s">
        <v>362</v>
      </c>
      <c r="D162" s="15" t="s">
        <v>510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570</v>
      </c>
      <c r="C163" s="83" t="s">
        <v>362</v>
      </c>
      <c r="D163" s="15" t="s">
        <v>510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1187</v>
      </c>
      <c r="C164" s="83" t="s">
        <v>362</v>
      </c>
      <c r="D164" s="15" t="s">
        <v>510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1185</v>
      </c>
      <c r="C165" s="83" t="s">
        <v>362</v>
      </c>
      <c r="D165" s="15" t="s">
        <v>510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365</v>
      </c>
      <c r="C166" s="83" t="s">
        <v>362</v>
      </c>
      <c r="D166" s="15" t="s">
        <v>510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366</v>
      </c>
      <c r="C167" s="83" t="s">
        <v>362</v>
      </c>
      <c r="D167" s="15" t="s">
        <v>510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367</v>
      </c>
      <c r="C168" s="83" t="s">
        <v>362</v>
      </c>
      <c r="D168" s="15" t="s">
        <v>511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369</v>
      </c>
      <c r="C169" s="83" t="s">
        <v>362</v>
      </c>
      <c r="D169" s="15" t="s">
        <v>511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1619</v>
      </c>
      <c r="C170" s="83" t="s">
        <v>362</v>
      </c>
      <c r="D170" s="15" t="s">
        <v>511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370</v>
      </c>
      <c r="C171" s="83" t="s">
        <v>362</v>
      </c>
      <c r="D171" s="15" t="s">
        <v>511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371</v>
      </c>
      <c r="C172" s="83" t="s">
        <v>362</v>
      </c>
      <c r="D172" s="15" t="s">
        <v>511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372</v>
      </c>
      <c r="C173" s="83" t="s">
        <v>362</v>
      </c>
      <c r="D173" s="15" t="s">
        <v>511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359</v>
      </c>
      <c r="C174" s="83" t="s">
        <v>362</v>
      </c>
      <c r="D174" s="15" t="s">
        <v>511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373</v>
      </c>
      <c r="C175" s="83" t="s">
        <v>393</v>
      </c>
      <c r="D175" s="15" t="s">
        <v>408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376</v>
      </c>
      <c r="C176" s="83" t="s">
        <v>393</v>
      </c>
      <c r="D176" s="15" t="s">
        <v>408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377</v>
      </c>
      <c r="C177" s="83" t="s">
        <v>393</v>
      </c>
      <c r="D177" s="15" t="s">
        <v>512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379</v>
      </c>
      <c r="C178" s="83" t="s">
        <v>393</v>
      </c>
      <c r="D178" s="15" t="s">
        <v>396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382</v>
      </c>
      <c r="C179" s="83" t="s">
        <v>390</v>
      </c>
      <c r="D179" s="15" t="s">
        <v>1681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383</v>
      </c>
      <c r="C180" s="83" t="s">
        <v>390</v>
      </c>
      <c r="D180" s="15" t="s">
        <v>1681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384</v>
      </c>
      <c r="C181" s="83" t="s">
        <v>390</v>
      </c>
      <c r="D181" s="15" t="s">
        <v>1681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385</v>
      </c>
      <c r="C182" s="83" t="s">
        <v>390</v>
      </c>
      <c r="D182" s="15" t="s">
        <v>1681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386</v>
      </c>
      <c r="C183" s="83" t="s">
        <v>390</v>
      </c>
      <c r="D183" s="15" t="s">
        <v>1681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387</v>
      </c>
      <c r="C184" s="83" t="s">
        <v>390</v>
      </c>
      <c r="D184" s="15" t="s">
        <v>398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389</v>
      </c>
      <c r="C185" s="83" t="s">
        <v>390</v>
      </c>
      <c r="D185" s="15" t="s">
        <v>398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572</v>
      </c>
      <c r="C186" s="83" t="s">
        <v>393</v>
      </c>
      <c r="D186" s="15" t="s">
        <v>398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392</v>
      </c>
      <c r="C187" s="83" t="s">
        <v>393</v>
      </c>
      <c r="D187" s="15" t="s">
        <v>398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360</v>
      </c>
      <c r="C188" s="83" t="s">
        <v>390</v>
      </c>
      <c r="D188" s="15" t="s">
        <v>403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397</v>
      </c>
      <c r="C189" s="83" t="s">
        <v>390</v>
      </c>
      <c r="D189" s="15" t="s">
        <v>865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120</v>
      </c>
      <c r="C190" s="100" t="s">
        <v>1713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411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1714</v>
      </c>
      <c r="B1" s="74"/>
      <c r="C1" s="74"/>
      <c r="D1" s="74"/>
      <c r="E1" s="74"/>
      <c r="F1" s="74"/>
    </row>
    <row r="2" ht="17.5" spans="1:6">
      <c r="A2" s="41" t="s">
        <v>1715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1719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1720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1721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1722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1723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1724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1725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1726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1727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1728</v>
      </c>
      <c r="B1" s="47"/>
      <c r="C1" s="47"/>
      <c r="D1" s="47"/>
      <c r="E1" s="47"/>
      <c r="F1" s="47"/>
    </row>
    <row r="2" ht="17.5" spans="1:6">
      <c r="A2" s="41" t="s">
        <v>1729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 t="e">
        <f>E4*12</f>
        <v>#REF!</v>
      </c>
      <c r="E4" s="51" t="e">
        <f>'JANUARY 2026'!#REF!</f>
        <v>#REF!</v>
      </c>
      <c r="F4" s="46"/>
    </row>
    <row r="5" ht="18" spans="1:6">
      <c r="A5" s="48" t="s">
        <v>1719</v>
      </c>
      <c r="B5" s="48"/>
      <c r="C5" s="48"/>
      <c r="D5" s="51" t="e">
        <f t="shared" ref="D5:D13" si="0">E5*12</f>
        <v>#REF!</v>
      </c>
      <c r="E5" s="51" t="e">
        <f>'JANUARY 2026'!#REF!</f>
        <v>#REF!</v>
      </c>
      <c r="F5" s="46"/>
    </row>
    <row r="6" ht="18" spans="1:6">
      <c r="A6" s="48" t="s">
        <v>1720</v>
      </c>
      <c r="B6" s="48"/>
      <c r="C6" s="48"/>
      <c r="D6" s="51" t="e">
        <f t="shared" si="0"/>
        <v>#REF!</v>
      </c>
      <c r="E6" s="51" t="e">
        <f>'JANUARY 2026'!#REF!</f>
        <v>#REF!</v>
      </c>
      <c r="F6" s="46"/>
    </row>
    <row r="7" ht="18" spans="1:6">
      <c r="A7" s="48" t="s">
        <v>1721</v>
      </c>
      <c r="B7" s="48"/>
      <c r="C7" s="48"/>
      <c r="D7" s="51" t="e">
        <f t="shared" si="0"/>
        <v>#REF!</v>
      </c>
      <c r="E7" s="51" t="e">
        <f>'JANUARY 2026'!#REF!</f>
        <v>#REF!</v>
      </c>
      <c r="F7" s="46"/>
    </row>
    <row r="8" ht="18" spans="1:6">
      <c r="A8" s="48" t="s">
        <v>1722</v>
      </c>
      <c r="B8" s="48"/>
      <c r="C8" s="48"/>
      <c r="D8" s="51" t="e">
        <f t="shared" si="0"/>
        <v>#REF!</v>
      </c>
      <c r="E8" s="51" t="e">
        <f>'JANUARY 2026'!#REF!</f>
        <v>#REF!</v>
      </c>
      <c r="F8" s="46"/>
    </row>
    <row r="9" ht="18" spans="1:6">
      <c r="A9" s="48" t="s">
        <v>1723</v>
      </c>
      <c r="B9" s="48"/>
      <c r="C9" s="48"/>
      <c r="D9" s="51" t="e">
        <f t="shared" si="0"/>
        <v>#REF!</v>
      </c>
      <c r="E9" s="51" t="e">
        <f>'JANUARY 2026'!#REF!</f>
        <v>#REF!</v>
      </c>
      <c r="F9" s="46"/>
    </row>
    <row r="10" ht="18" spans="1:6">
      <c r="A10" s="48" t="s">
        <v>1725</v>
      </c>
      <c r="B10" s="48"/>
      <c r="C10" s="48"/>
      <c r="D10" s="51" t="e">
        <f t="shared" si="0"/>
        <v>#REF!</v>
      </c>
      <c r="E10" s="51" t="e">
        <f>'JANUARY 2026'!#REF!</f>
        <v>#REF!</v>
      </c>
      <c r="F10" s="46"/>
    </row>
    <row r="11" ht="18" spans="1:6">
      <c r="A11" s="52" t="s">
        <v>1730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1726</v>
      </c>
      <c r="B12" s="48"/>
      <c r="C12" s="48"/>
      <c r="D12" s="51" t="e">
        <f t="shared" si="0"/>
        <v>#REF!</v>
      </c>
      <c r="E12" s="51" t="e">
        <f>'JANUARY 2026'!#REF!</f>
        <v>#REF!</v>
      </c>
      <c r="F12" s="46"/>
    </row>
    <row r="13" ht="18" spans="1:6">
      <c r="A13" s="48" t="s">
        <v>1727</v>
      </c>
      <c r="B13" s="48"/>
      <c r="C13" s="48"/>
      <c r="D13" s="51" t="e">
        <f t="shared" si="0"/>
        <v>#REF!</v>
      </c>
      <c r="E13" s="51" t="e">
        <f>'JANUARY 2026'!#REF!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1731</v>
      </c>
      <c r="B1" s="47"/>
      <c r="C1" s="47"/>
      <c r="D1" s="47"/>
      <c r="E1" s="47"/>
      <c r="F1" s="47"/>
    </row>
    <row r="2" ht="17.5" spans="1:6">
      <c r="A2" s="41" t="s">
        <v>1732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>
        <f>E4*12</f>
        <v>20965276.9999999</v>
      </c>
      <c r="E4" s="51">
        <f>'JANUARY 2026'!E124</f>
        <v>1747106.41666666</v>
      </c>
      <c r="F4" s="46"/>
    </row>
    <row r="5" ht="18" spans="1:6">
      <c r="A5" s="48" t="s">
        <v>1719</v>
      </c>
      <c r="B5" s="48"/>
      <c r="C5" s="48"/>
      <c r="D5" s="51" t="e">
        <f t="shared" ref="D5:D14" si="0">E5*12</f>
        <v>#REF!</v>
      </c>
      <c r="E5" s="51" t="e">
        <f>'JANUARY 2026'!#REF!</f>
        <v>#REF!</v>
      </c>
      <c r="F5" s="46"/>
    </row>
    <row r="6" ht="18" spans="1:6">
      <c r="A6" s="48" t="s">
        <v>1720</v>
      </c>
      <c r="B6" s="48"/>
      <c r="C6" s="48"/>
      <c r="D6" s="51" t="e">
        <f t="shared" si="0"/>
        <v>#REF!</v>
      </c>
      <c r="E6" s="51" t="e">
        <f>'JANUARY 2026'!#REF!</f>
        <v>#REF!</v>
      </c>
      <c r="F6" s="46"/>
    </row>
    <row r="7" ht="18" spans="1:6">
      <c r="A7" s="48" t="s">
        <v>1721</v>
      </c>
      <c r="B7" s="48"/>
      <c r="C7" s="48"/>
      <c r="D7" s="51" t="e">
        <f t="shared" si="0"/>
        <v>#REF!</v>
      </c>
      <c r="E7" s="51" t="e">
        <f>'JANUARY 2026'!#REF!</f>
        <v>#REF!</v>
      </c>
      <c r="F7" s="46"/>
    </row>
    <row r="8" ht="18" spans="1:6">
      <c r="A8" s="48" t="s">
        <v>1722</v>
      </c>
      <c r="B8" s="48"/>
      <c r="C8" s="48"/>
      <c r="D8" s="51" t="e">
        <f t="shared" si="0"/>
        <v>#REF!</v>
      </c>
      <c r="E8" s="51" t="e">
        <f>'JANUARY 2026'!#REF!</f>
        <v>#REF!</v>
      </c>
      <c r="F8" s="46"/>
    </row>
    <row r="9" ht="18" spans="1:6">
      <c r="A9" s="48" t="s">
        <v>1723</v>
      </c>
      <c r="B9" s="48"/>
      <c r="C9" s="48"/>
      <c r="D9" s="51" t="e">
        <f t="shared" si="0"/>
        <v>#REF!</v>
      </c>
      <c r="E9" s="51" t="e">
        <f>'JANUARY 2026'!#REF!</f>
        <v>#REF!</v>
      </c>
      <c r="F9" s="46"/>
    </row>
    <row r="10" ht="18" spans="1:6">
      <c r="A10" s="48" t="s">
        <v>1725</v>
      </c>
      <c r="B10" s="48"/>
      <c r="C10" s="48"/>
      <c r="D10" s="51" t="e">
        <f t="shared" si="0"/>
        <v>#REF!</v>
      </c>
      <c r="E10" s="51" t="e">
        <f>'JANUARY 2026'!#REF!</f>
        <v>#REF!</v>
      </c>
      <c r="F10" s="46"/>
    </row>
    <row r="11" ht="18" spans="1:6">
      <c r="A11" s="52" t="s">
        <v>1724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1726</v>
      </c>
      <c r="B12" s="48"/>
      <c r="C12" s="48"/>
      <c r="D12" s="51" t="e">
        <f t="shared" si="0"/>
        <v>#REF!</v>
      </c>
      <c r="E12" s="51" t="e">
        <f>'JANUARY 2026'!#REF!</f>
        <v>#REF!</v>
      </c>
      <c r="F12" s="46"/>
    </row>
    <row r="13" ht="18" spans="1:6">
      <c r="A13" s="48" t="s">
        <v>1727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1733</v>
      </c>
      <c r="B1" s="47"/>
      <c r="C1" s="47"/>
      <c r="D1" s="47"/>
      <c r="E1" s="47"/>
      <c r="F1" s="47"/>
    </row>
    <row r="2" ht="17.5" spans="1:6">
      <c r="A2" s="41" t="s">
        <v>1734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 t="e">
        <f>E4*12</f>
        <v>#REF!</v>
      </c>
      <c r="E4" s="51" t="e">
        <f>'JANUARY 2026'!#REF!</f>
        <v>#REF!</v>
      </c>
      <c r="F4" s="46"/>
    </row>
    <row r="5" ht="18" spans="1:6">
      <c r="A5" s="48" t="s">
        <v>1719</v>
      </c>
      <c r="B5" s="48"/>
      <c r="C5" s="48"/>
      <c r="D5" s="51" t="e">
        <f t="shared" ref="D5:D14" si="0">E5*12</f>
        <v>#REF!</v>
      </c>
      <c r="E5" s="51" t="e">
        <f>'JANUARY 2026'!#REF!</f>
        <v>#REF!</v>
      </c>
      <c r="F5" s="46"/>
    </row>
    <row r="6" ht="18" spans="1:6">
      <c r="A6" s="48" t="s">
        <v>1720</v>
      </c>
      <c r="B6" s="48"/>
      <c r="C6" s="48"/>
      <c r="D6" s="51" t="e">
        <f t="shared" si="0"/>
        <v>#REF!</v>
      </c>
      <c r="E6" s="51" t="e">
        <f>'JANUARY 2026'!#REF!</f>
        <v>#REF!</v>
      </c>
      <c r="F6" s="46"/>
    </row>
    <row r="7" ht="18" spans="1:6">
      <c r="A7" s="48" t="s">
        <v>1721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1722</v>
      </c>
      <c r="B8" s="48"/>
      <c r="C8" s="48"/>
      <c r="D8" s="51" t="e">
        <f t="shared" si="0"/>
        <v>#REF!</v>
      </c>
      <c r="E8" s="51" t="e">
        <f>'JANUARY 2026'!#REF!</f>
        <v>#REF!</v>
      </c>
      <c r="F8" s="46"/>
    </row>
    <row r="9" ht="18" spans="1:6">
      <c r="A9" s="48" t="s">
        <v>1723</v>
      </c>
      <c r="B9" s="48"/>
      <c r="C9" s="48"/>
      <c r="D9" s="51" t="e">
        <f t="shared" si="0"/>
        <v>#REF!</v>
      </c>
      <c r="E9" s="51" t="e">
        <f>'JANUARY 2026'!#REF!</f>
        <v>#REF!</v>
      </c>
      <c r="F9" s="46"/>
    </row>
    <row r="10" ht="18" spans="1:6">
      <c r="A10" s="48" t="s">
        <v>1725</v>
      </c>
      <c r="B10" s="48"/>
      <c r="C10" s="48"/>
      <c r="D10" s="51" t="e">
        <f t="shared" si="0"/>
        <v>#REF!</v>
      </c>
      <c r="E10" s="51" t="e">
        <f>'JANUARY 2026'!#REF!</f>
        <v>#REF!</v>
      </c>
      <c r="F10" s="46"/>
    </row>
    <row r="11" ht="18" spans="1:6">
      <c r="A11" s="52" t="s">
        <v>1724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1726</v>
      </c>
      <c r="B12" s="48"/>
      <c r="C12" s="48"/>
      <c r="D12" s="51" t="e">
        <f t="shared" si="0"/>
        <v>#REF!</v>
      </c>
      <c r="E12" s="51" t="e">
        <f>'JANUARY 2026'!#REF!</f>
        <v>#REF!</v>
      </c>
      <c r="F12" s="46"/>
    </row>
    <row r="13" ht="18" spans="1:6">
      <c r="A13" s="48" t="s">
        <v>1727</v>
      </c>
      <c r="B13" s="48"/>
      <c r="C13" s="48"/>
      <c r="D13" s="51" t="e">
        <f t="shared" si="0"/>
        <v>#REF!</v>
      </c>
      <c r="E13" s="51" t="e">
        <f>'JANUARY 2026'!#REF!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1719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1720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1721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1722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1723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1725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1726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1727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1735</v>
      </c>
      <c r="B1" s="47"/>
      <c r="C1" s="47"/>
      <c r="D1" s="47"/>
      <c r="E1" s="47"/>
      <c r="F1" s="47"/>
    </row>
    <row r="2" ht="17.5" spans="1:6">
      <c r="A2" s="41" t="s">
        <v>1736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1719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1720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1721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1722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1723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1725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1724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1726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1727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1737</v>
      </c>
      <c r="B1" s="47"/>
      <c r="C1" s="47"/>
      <c r="D1" s="47"/>
      <c r="E1" s="47"/>
      <c r="F1" s="47"/>
    </row>
    <row r="2" ht="17.5" spans="1:6">
      <c r="A2" s="41" t="s">
        <v>1738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1719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1720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1721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1722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1723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1725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1739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1726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1727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1740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>
        <f>E4*12</f>
        <v>7075884</v>
      </c>
      <c r="E4" s="51">
        <f>'JANUARY 2026'!E97</f>
        <v>589657</v>
      </c>
      <c r="F4" s="46"/>
    </row>
    <row r="5" ht="18" spans="1:6">
      <c r="A5" s="48" t="s">
        <v>1719</v>
      </c>
      <c r="B5" s="48"/>
      <c r="C5" s="48"/>
      <c r="D5" s="51" t="e">
        <f t="shared" ref="D5:D12" si="0">E5*12</f>
        <v>#REF!</v>
      </c>
      <c r="E5" s="51" t="e">
        <f>'JANUARY 2026'!#REF!</f>
        <v>#REF!</v>
      </c>
      <c r="F5" s="46"/>
    </row>
    <row r="6" ht="18" spans="1:6">
      <c r="A6" s="48" t="s">
        <v>1720</v>
      </c>
      <c r="B6" s="48"/>
      <c r="C6" s="48"/>
      <c r="D6" s="51" t="e">
        <f t="shared" si="0"/>
        <v>#REF!</v>
      </c>
      <c r="E6" s="51" t="e">
        <f>'JANUARY 2026'!#REF!</f>
        <v>#REF!</v>
      </c>
      <c r="F6" s="46"/>
    </row>
    <row r="7" ht="18" spans="1:6">
      <c r="A7" s="48" t="s">
        <v>1722</v>
      </c>
      <c r="B7" s="48"/>
      <c r="C7" s="48"/>
      <c r="D7" s="51" t="e">
        <f t="shared" si="0"/>
        <v>#REF!</v>
      </c>
      <c r="E7" s="51" t="e">
        <f>'JANUARY 2026'!#REF!</f>
        <v>#REF!</v>
      </c>
      <c r="F7" s="46"/>
    </row>
    <row r="8" ht="18" spans="1:6">
      <c r="A8" s="48" t="s">
        <v>1723</v>
      </c>
      <c r="B8" s="48"/>
      <c r="C8" s="48"/>
      <c r="D8" s="51" t="e">
        <f t="shared" si="0"/>
        <v>#REF!</v>
      </c>
      <c r="E8" s="51" t="e">
        <f>'JANUARY 2026'!#REF!</f>
        <v>#REF!</v>
      </c>
      <c r="F8" s="46"/>
    </row>
    <row r="9" ht="18" spans="1:6">
      <c r="A9" s="48" t="s">
        <v>1725</v>
      </c>
      <c r="B9" s="48"/>
      <c r="C9" s="48"/>
      <c r="D9" s="51" t="e">
        <f t="shared" si="0"/>
        <v>#REF!</v>
      </c>
      <c r="E9" s="51" t="e">
        <f>'JANUARY 2026'!#REF!</f>
        <v>#REF!</v>
      </c>
      <c r="F9" s="46"/>
    </row>
    <row r="10" ht="18" spans="1:6">
      <c r="A10" s="48" t="s">
        <v>1726</v>
      </c>
      <c r="B10" s="48"/>
      <c r="C10" s="48"/>
      <c r="D10" s="51" t="e">
        <f t="shared" si="0"/>
        <v>#REF!</v>
      </c>
      <c r="E10" s="51" t="e">
        <f>'JANUARY 2026'!#REF!</f>
        <v>#REF!</v>
      </c>
      <c r="F10" s="46"/>
    </row>
    <row r="11" ht="18" spans="1:6">
      <c r="A11" s="48" t="s">
        <v>1727</v>
      </c>
      <c r="B11" s="48"/>
      <c r="C11" s="48"/>
      <c r="D11" s="51" t="e">
        <f t="shared" si="0"/>
        <v>#REF!</v>
      </c>
      <c r="E11" s="51" t="e">
        <f>'JANUARY 2026'!#REF!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1685</v>
      </c>
      <c r="G1" s="57" t="s">
        <v>1741</v>
      </c>
      <c r="H1" s="57"/>
      <c r="I1" s="57"/>
      <c r="J1" s="57"/>
      <c r="K1" s="57"/>
      <c r="L1" s="57"/>
      <c r="M1" s="57" t="s">
        <v>1742</v>
      </c>
      <c r="N1" s="57" t="s">
        <v>1686</v>
      </c>
      <c r="O1" s="57" t="s">
        <v>1687</v>
      </c>
      <c r="P1" s="57" t="s">
        <v>1689</v>
      </c>
      <c r="Q1" s="57" t="s">
        <v>1690</v>
      </c>
      <c r="R1" s="57" t="s">
        <v>1691</v>
      </c>
      <c r="S1" s="57" t="s">
        <v>1743</v>
      </c>
      <c r="T1" s="68"/>
      <c r="U1" s="69" t="s">
        <v>1744</v>
      </c>
      <c r="V1" s="70" t="s">
        <v>1745</v>
      </c>
    </row>
    <row r="2" ht="17.5" spans="6:22">
      <c r="F2" s="57" t="s">
        <v>756</v>
      </c>
      <c r="G2" s="57" t="s">
        <v>1746</v>
      </c>
      <c r="H2" s="57" t="s">
        <v>1090</v>
      </c>
      <c r="I2" s="57" t="s">
        <v>1091</v>
      </c>
      <c r="J2" s="57" t="s">
        <v>1092</v>
      </c>
      <c r="K2" s="57" t="s">
        <v>1093</v>
      </c>
      <c r="L2" s="57" t="s">
        <v>1094</v>
      </c>
      <c r="M2" s="57" t="s">
        <v>1747</v>
      </c>
      <c r="N2" s="57" t="s">
        <v>1095</v>
      </c>
      <c r="O2" s="57" t="s">
        <v>7</v>
      </c>
      <c r="P2" s="57" t="s">
        <v>1096</v>
      </c>
      <c r="Q2" s="57" t="s">
        <v>1096</v>
      </c>
      <c r="R2" s="57" t="s">
        <v>8</v>
      </c>
      <c r="S2" s="57" t="s">
        <v>756</v>
      </c>
      <c r="T2" s="57" t="s">
        <v>15</v>
      </c>
      <c r="U2" s="69"/>
      <c r="V2" s="70"/>
    </row>
    <row r="3" ht="18" spans="1:21">
      <c r="A3" s="58" t="s">
        <v>1748</v>
      </c>
      <c r="B3" s="59"/>
      <c r="C3" s="60"/>
      <c r="D3" s="61"/>
      <c r="E3" s="61" t="s">
        <v>1749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1750</v>
      </c>
      <c r="B4" s="59"/>
      <c r="C4" s="60"/>
      <c r="D4" s="61"/>
      <c r="E4" s="61" t="s">
        <v>1751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45</v>
      </c>
      <c r="B5" s="64"/>
      <c r="C5" s="65"/>
      <c r="D5" s="66"/>
      <c r="E5" s="67" t="s">
        <v>501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852</v>
      </c>
      <c r="B6" s="59"/>
      <c r="C6" s="60"/>
      <c r="D6" s="61"/>
      <c r="E6" s="61" t="s">
        <v>633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1752</v>
      </c>
      <c r="B7" s="59"/>
      <c r="C7" s="60"/>
      <c r="D7" s="61"/>
      <c r="E7" s="61" t="s">
        <v>959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150</v>
      </c>
      <c r="B8" s="59"/>
      <c r="C8" s="60"/>
      <c r="D8" s="61"/>
      <c r="E8" s="61" t="s">
        <v>1753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1754</v>
      </c>
      <c r="B9" s="59"/>
      <c r="C9" s="60"/>
      <c r="D9" s="61"/>
      <c r="E9" s="61" t="s">
        <v>1755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1756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1757</v>
      </c>
      <c r="B1" s="47"/>
      <c r="C1" s="47"/>
      <c r="D1" s="47"/>
      <c r="E1" s="47"/>
      <c r="F1" s="47"/>
    </row>
    <row r="2" ht="17.5" spans="1:6">
      <c r="A2" s="41" t="s">
        <v>1758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1716</v>
      </c>
      <c r="E3" s="49" t="s">
        <v>1717</v>
      </c>
      <c r="F3" s="50"/>
    </row>
    <row r="4" ht="18" spans="1:6">
      <c r="A4" s="48" t="s">
        <v>1718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1719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1720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1721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1722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1723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1725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1724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1726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1727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1759</v>
      </c>
      <c r="B1" s="41"/>
      <c r="C1" s="41"/>
    </row>
    <row r="2" ht="17.5" spans="1:3">
      <c r="A2" s="41" t="s">
        <v>1732</v>
      </c>
      <c r="B2" s="41"/>
      <c r="C2" s="41"/>
    </row>
    <row r="3" ht="17.5" spans="1:3">
      <c r="A3" s="42"/>
      <c r="B3" s="42" t="s">
        <v>1716</v>
      </c>
      <c r="C3" s="42" t="s">
        <v>1717</v>
      </c>
    </row>
    <row r="4" ht="18" spans="1:3">
      <c r="A4" s="43" t="s">
        <v>1718</v>
      </c>
      <c r="B4" s="44">
        <f>C4*12</f>
        <v>475947</v>
      </c>
      <c r="C4" s="44">
        <v>39662.25</v>
      </c>
    </row>
    <row r="5" ht="18" spans="1:3">
      <c r="A5" s="43" t="s">
        <v>1719</v>
      </c>
      <c r="B5" s="44">
        <f t="shared" ref="B5:B13" si="0">C5*12</f>
        <v>1427841</v>
      </c>
      <c r="C5" s="44">
        <v>118986.75</v>
      </c>
    </row>
    <row r="6" ht="18" spans="1:3">
      <c r="A6" s="43" t="s">
        <v>1720</v>
      </c>
      <c r="B6" s="44">
        <f t="shared" si="0"/>
        <v>35696.04</v>
      </c>
      <c r="C6" s="44">
        <v>2974.67</v>
      </c>
    </row>
    <row r="7" ht="18" spans="1:3">
      <c r="A7" s="43" t="s">
        <v>1721</v>
      </c>
      <c r="B7" s="44" t="e">
        <f t="shared" si="0"/>
        <v>#REF!</v>
      </c>
      <c r="C7" s="44" t="e">
        <f>'JANUARY 2026'!#REF!</f>
        <v>#REF!</v>
      </c>
    </row>
    <row r="8" ht="18" spans="1:3">
      <c r="A8" s="43" t="s">
        <v>1722</v>
      </c>
      <c r="B8" s="44">
        <f t="shared" si="0"/>
        <v>237973.56</v>
      </c>
      <c r="C8" s="44">
        <v>19831.13</v>
      </c>
    </row>
    <row r="9" ht="18" spans="1:3">
      <c r="A9" s="43" t="s">
        <v>1723</v>
      </c>
      <c r="B9" s="44">
        <f t="shared" si="0"/>
        <v>1665814.56</v>
      </c>
      <c r="C9" s="44">
        <v>138817.88</v>
      </c>
    </row>
    <row r="10" ht="18" spans="1:3">
      <c r="A10" s="43" t="s">
        <v>1725</v>
      </c>
      <c r="B10" s="44">
        <f t="shared" si="0"/>
        <v>475947</v>
      </c>
      <c r="C10" s="44">
        <v>39662.25</v>
      </c>
    </row>
    <row r="11" ht="18" spans="1:3">
      <c r="A11" s="43" t="s">
        <v>1724</v>
      </c>
      <c r="B11" s="44">
        <f t="shared" si="0"/>
        <v>0</v>
      </c>
      <c r="C11" s="44">
        <v>0</v>
      </c>
    </row>
    <row r="12" ht="18" spans="1:3">
      <c r="A12" s="43" t="s">
        <v>1726</v>
      </c>
      <c r="B12" s="44">
        <f t="shared" si="0"/>
        <v>47594.76</v>
      </c>
      <c r="C12" s="44">
        <v>3966.23</v>
      </c>
    </row>
    <row r="13" ht="18" spans="1:3">
      <c r="A13" s="43" t="s">
        <v>1727</v>
      </c>
      <c r="B13" s="44" t="e">
        <f t="shared" si="0"/>
        <v>#REF!</v>
      </c>
      <c r="C13" s="44" t="e">
        <f>'JANUARY 2026'!#REF!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21</v>
      </c>
      <c r="B3" s="36" t="s">
        <v>4</v>
      </c>
      <c r="C3" s="36" t="s">
        <v>1760</v>
      </c>
      <c r="D3" s="37" t="s">
        <v>20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1761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21</v>
      </c>
      <c r="B6" s="8" t="s">
        <v>22</v>
      </c>
      <c r="C6" s="8"/>
      <c r="D6" s="8"/>
    </row>
    <row r="7" customHeight="1" spans="1:5">
      <c r="A7" s="10">
        <v>1</v>
      </c>
      <c r="B7" s="11" t="s">
        <v>23</v>
      </c>
      <c r="C7" s="12" t="s">
        <v>24</v>
      </c>
      <c r="D7" s="12" t="s">
        <v>25</v>
      </c>
      <c r="E7" s="13"/>
    </row>
    <row r="8" customHeight="1" spans="1:5">
      <c r="A8" s="10">
        <v>2</v>
      </c>
      <c r="B8" s="11" t="s">
        <v>1521</v>
      </c>
      <c r="C8" s="4" t="s">
        <v>1522</v>
      </c>
      <c r="D8" s="10" t="s">
        <v>35</v>
      </c>
      <c r="E8" s="13"/>
    </row>
    <row r="9" customHeight="1" spans="1:5">
      <c r="A9" s="10">
        <v>3</v>
      </c>
      <c r="B9" s="11" t="s">
        <v>26</v>
      </c>
      <c r="C9" s="12" t="s">
        <v>27</v>
      </c>
      <c r="D9" s="10" t="s">
        <v>28</v>
      </c>
      <c r="E9" s="13"/>
    </row>
    <row r="10" customHeight="1" spans="1:5">
      <c r="A10" s="10">
        <v>4</v>
      </c>
      <c r="B10" s="14" t="s">
        <v>29</v>
      </c>
      <c r="C10" s="4" t="s">
        <v>30</v>
      </c>
      <c r="D10" s="15" t="s">
        <v>207</v>
      </c>
      <c r="E10" s="13"/>
    </row>
    <row r="11" customHeight="1" spans="1:5">
      <c r="A11" s="10">
        <v>5</v>
      </c>
      <c r="B11" s="14" t="s">
        <v>225</v>
      </c>
      <c r="C11" s="4" t="s">
        <v>1523</v>
      </c>
      <c r="D11" s="16" t="s">
        <v>207</v>
      </c>
      <c r="E11" s="13"/>
    </row>
    <row r="12" customHeight="1" spans="1:5">
      <c r="A12" s="10">
        <v>6</v>
      </c>
      <c r="B12" s="11" t="s">
        <v>31</v>
      </c>
      <c r="C12" s="17" t="s">
        <v>32</v>
      </c>
      <c r="D12" s="16" t="s">
        <v>207</v>
      </c>
      <c r="E12" s="13"/>
    </row>
    <row r="13" customHeight="1" spans="1:5">
      <c r="A13" s="10">
        <v>7</v>
      </c>
      <c r="B13" s="14" t="s">
        <v>301</v>
      </c>
      <c r="C13" s="4" t="s">
        <v>832</v>
      </c>
      <c r="D13" s="16" t="s">
        <v>207</v>
      </c>
      <c r="E13" s="13"/>
    </row>
    <row r="14" customHeight="1" spans="1:5">
      <c r="A14" s="10">
        <v>8</v>
      </c>
      <c r="B14" s="11" t="s">
        <v>33</v>
      </c>
      <c r="C14" s="12" t="s">
        <v>835</v>
      </c>
      <c r="D14" s="15" t="s">
        <v>38</v>
      </c>
      <c r="E14" s="13"/>
    </row>
    <row r="15" customHeight="1" spans="1:5">
      <c r="A15" s="10">
        <v>9</v>
      </c>
      <c r="B15" s="18" t="s">
        <v>183</v>
      </c>
      <c r="C15" s="12" t="s">
        <v>851</v>
      </c>
      <c r="D15" s="10" t="s">
        <v>850</v>
      </c>
      <c r="E15" s="13"/>
    </row>
    <row r="16" customHeight="1" spans="1:5">
      <c r="A16" s="10">
        <v>10</v>
      </c>
      <c r="B16" s="19" t="s">
        <v>1607</v>
      </c>
      <c r="C16" s="4" t="s">
        <v>1608</v>
      </c>
      <c r="D16" s="16" t="s">
        <v>46</v>
      </c>
      <c r="E16" s="13"/>
    </row>
    <row r="17" ht="19.5" customHeight="1" spans="1:5">
      <c r="A17" s="10">
        <v>11</v>
      </c>
      <c r="B17" s="14" t="s">
        <v>1524</v>
      </c>
      <c r="C17" s="4" t="s">
        <v>547</v>
      </c>
      <c r="D17" s="10" t="s">
        <v>46</v>
      </c>
      <c r="E17" s="13"/>
    </row>
    <row r="18" ht="19.5" customHeight="1" spans="1:5">
      <c r="A18" s="10">
        <v>12</v>
      </c>
      <c r="B18" s="14" t="s">
        <v>1609</v>
      </c>
      <c r="C18" s="4" t="s">
        <v>1610</v>
      </c>
      <c r="D18" s="10" t="s">
        <v>46</v>
      </c>
      <c r="E18" s="13"/>
    </row>
    <row r="19" customHeight="1" spans="1:5">
      <c r="A19" s="10">
        <v>13</v>
      </c>
      <c r="B19" s="11" t="s">
        <v>39</v>
      </c>
      <c r="C19" s="4" t="s">
        <v>547</v>
      </c>
      <c r="D19" s="15" t="s">
        <v>46</v>
      </c>
      <c r="E19" s="13"/>
    </row>
    <row r="20" customHeight="1" spans="1:5">
      <c r="A20" s="10">
        <v>14</v>
      </c>
      <c r="B20" s="11" t="s">
        <v>50</v>
      </c>
      <c r="C20" s="12" t="s">
        <v>60</v>
      </c>
      <c r="D20" s="15" t="s">
        <v>215</v>
      </c>
      <c r="E20" s="13"/>
    </row>
    <row r="21" customHeight="1" spans="1:5">
      <c r="A21" s="10">
        <v>15</v>
      </c>
      <c r="B21" s="18" t="s">
        <v>53</v>
      </c>
      <c r="C21" s="4" t="s">
        <v>54</v>
      </c>
      <c r="D21" s="15" t="s">
        <v>503</v>
      </c>
      <c r="E21" s="13"/>
    </row>
    <row r="22" customHeight="1" spans="1:5">
      <c r="A22" s="10">
        <v>16</v>
      </c>
      <c r="B22" s="11" t="s">
        <v>190</v>
      </c>
      <c r="C22" s="12" t="s">
        <v>854</v>
      </c>
      <c r="D22" s="15" t="s">
        <v>69</v>
      </c>
      <c r="E22" s="13"/>
    </row>
    <row r="23" ht="18.75" customHeight="1" spans="1:5">
      <c r="A23" s="10">
        <v>17</v>
      </c>
      <c r="B23" s="11" t="s">
        <v>64</v>
      </c>
      <c r="C23" s="12" t="s">
        <v>176</v>
      </c>
      <c r="D23" s="15" t="s">
        <v>131</v>
      </c>
      <c r="E23" s="13"/>
    </row>
    <row r="24" ht="18.75" customHeight="1" spans="1:5">
      <c r="A24" s="10">
        <v>18</v>
      </c>
      <c r="B24" s="18" t="s">
        <v>1611</v>
      </c>
      <c r="C24" s="12" t="s">
        <v>104</v>
      </c>
      <c r="D24" s="15" t="s">
        <v>77</v>
      </c>
      <c r="E24" s="13"/>
    </row>
    <row r="25" ht="18.75" customHeight="1" spans="1:5">
      <c r="A25" s="10">
        <v>19</v>
      </c>
      <c r="B25" s="4" t="s">
        <v>485</v>
      </c>
      <c r="C25" s="4" t="s">
        <v>94</v>
      </c>
      <c r="D25" s="10" t="s">
        <v>99</v>
      </c>
      <c r="E25" s="13"/>
    </row>
    <row r="26" ht="18.75" customHeight="1" spans="1:5">
      <c r="A26" s="10">
        <v>20</v>
      </c>
      <c r="B26" s="18" t="s">
        <v>78</v>
      </c>
      <c r="C26" s="12" t="s">
        <v>94</v>
      </c>
      <c r="D26" s="15" t="s">
        <v>99</v>
      </c>
      <c r="E26" s="13"/>
    </row>
    <row r="27" ht="18.75" customHeight="1" spans="1:5">
      <c r="A27" s="10">
        <v>21</v>
      </c>
      <c r="B27" s="11" t="s">
        <v>1525</v>
      </c>
      <c r="C27" s="12" t="s">
        <v>1526</v>
      </c>
      <c r="D27" s="15" t="s">
        <v>99</v>
      </c>
      <c r="E27" s="13"/>
    </row>
    <row r="28" ht="18.75" customHeight="1" spans="1:5">
      <c r="A28" s="10">
        <v>22</v>
      </c>
      <c r="B28" s="18" t="s">
        <v>83</v>
      </c>
      <c r="C28" s="12" t="s">
        <v>1473</v>
      </c>
      <c r="D28" s="15" t="s">
        <v>105</v>
      </c>
      <c r="E28" s="13"/>
    </row>
    <row r="29" ht="18.75" customHeight="1" spans="1:5">
      <c r="A29" s="10">
        <v>23</v>
      </c>
      <c r="B29" s="18" t="s">
        <v>86</v>
      </c>
      <c r="C29" s="4" t="s">
        <v>1527</v>
      </c>
      <c r="D29" s="10" t="s">
        <v>105</v>
      </c>
      <c r="E29" s="13"/>
    </row>
    <row r="30" ht="18.75" customHeight="1" spans="1:5">
      <c r="A30" s="10">
        <v>24</v>
      </c>
      <c r="B30" s="18" t="s">
        <v>91</v>
      </c>
      <c r="C30" s="17" t="s">
        <v>550</v>
      </c>
      <c r="D30" s="15" t="s">
        <v>99</v>
      </c>
      <c r="E30" s="13"/>
    </row>
    <row r="31" ht="18.75" customHeight="1" spans="1:5">
      <c r="A31" s="10">
        <v>25</v>
      </c>
      <c r="B31" s="18" t="s">
        <v>95</v>
      </c>
      <c r="C31" s="4" t="s">
        <v>551</v>
      </c>
      <c r="D31" s="10" t="s">
        <v>111</v>
      </c>
      <c r="E31" s="13"/>
    </row>
    <row r="32" ht="18.75" customHeight="1" spans="1:5">
      <c r="A32" s="10">
        <v>26</v>
      </c>
      <c r="B32" s="18" t="s">
        <v>1454</v>
      </c>
      <c r="C32" s="12" t="s">
        <v>104</v>
      </c>
      <c r="D32" s="15" t="s">
        <v>111</v>
      </c>
      <c r="E32" s="13"/>
    </row>
    <row r="33" ht="18.75" customHeight="1" spans="1:5">
      <c r="A33" s="10">
        <v>27</v>
      </c>
      <c r="B33" s="18" t="s">
        <v>1612</v>
      </c>
      <c r="C33" s="12" t="s">
        <v>104</v>
      </c>
      <c r="D33" s="15" t="s">
        <v>111</v>
      </c>
      <c r="E33" s="13"/>
    </row>
    <row r="34" ht="18.75" customHeight="1" spans="1:5">
      <c r="A34" s="10">
        <v>28</v>
      </c>
      <c r="B34" s="18" t="s">
        <v>297</v>
      </c>
      <c r="C34" s="12" t="s">
        <v>292</v>
      </c>
      <c r="D34" s="15" t="s">
        <v>276</v>
      </c>
      <c r="E34" s="13"/>
    </row>
    <row r="35" ht="20.25" customHeight="1" spans="1:5">
      <c r="A35" s="10"/>
      <c r="B35" s="20" t="s">
        <v>120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121</v>
      </c>
      <c r="C37" s="4"/>
      <c r="D37" s="15"/>
      <c r="E37" s="13"/>
    </row>
    <row r="38" ht="18.75" customHeight="1" spans="1:5">
      <c r="A38" s="10">
        <v>1</v>
      </c>
      <c r="B38" s="18" t="s">
        <v>122</v>
      </c>
      <c r="C38" s="4" t="s">
        <v>123</v>
      </c>
      <c r="D38" s="10" t="s">
        <v>124</v>
      </c>
      <c r="E38" s="13"/>
    </row>
    <row r="39" ht="18.75" customHeight="1" spans="1:5">
      <c r="A39" s="10">
        <v>2</v>
      </c>
      <c r="B39" s="18" t="s">
        <v>127</v>
      </c>
      <c r="C39" s="4" t="s">
        <v>1064</v>
      </c>
      <c r="D39" s="10" t="s">
        <v>276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137</v>
      </c>
      <c r="C42" s="5"/>
      <c r="D42" s="24"/>
      <c r="E42" s="13"/>
    </row>
    <row r="43" customHeight="1" spans="1:5">
      <c r="A43" s="10">
        <v>1</v>
      </c>
      <c r="B43" s="11" t="s">
        <v>837</v>
      </c>
      <c r="C43" s="4" t="s">
        <v>838</v>
      </c>
      <c r="D43" s="10" t="s">
        <v>124</v>
      </c>
      <c r="E43" s="13"/>
    </row>
    <row r="44" customHeight="1" spans="1:5">
      <c r="A44" s="10">
        <v>2</v>
      </c>
      <c r="B44" s="11" t="s">
        <v>839</v>
      </c>
      <c r="C44" s="4" t="s">
        <v>43</v>
      </c>
      <c r="D44" s="10" t="s">
        <v>38</v>
      </c>
      <c r="E44" s="13"/>
    </row>
    <row r="45" customHeight="1" spans="1:5">
      <c r="A45" s="10">
        <v>3</v>
      </c>
      <c r="B45" s="11" t="s">
        <v>138</v>
      </c>
      <c r="C45" s="4" t="s">
        <v>142</v>
      </c>
      <c r="D45" s="10" t="s">
        <v>38</v>
      </c>
      <c r="E45" s="13"/>
    </row>
    <row r="46" customHeight="1" spans="1:5">
      <c r="A46" s="10">
        <v>4</v>
      </c>
      <c r="B46" s="11" t="s">
        <v>141</v>
      </c>
      <c r="C46" s="4" t="s">
        <v>142</v>
      </c>
      <c r="D46" s="10" t="s">
        <v>38</v>
      </c>
      <c r="E46" s="13"/>
    </row>
    <row r="47" customHeight="1" spans="1:5">
      <c r="A47" s="10">
        <v>5</v>
      </c>
      <c r="B47" s="11" t="s">
        <v>143</v>
      </c>
      <c r="C47" s="4" t="s">
        <v>142</v>
      </c>
      <c r="D47" s="10" t="s">
        <v>49</v>
      </c>
      <c r="E47" s="13"/>
    </row>
    <row r="48" customHeight="1" spans="1:5">
      <c r="A48" s="10">
        <v>6</v>
      </c>
      <c r="B48" s="11" t="s">
        <v>144</v>
      </c>
      <c r="C48" s="4" t="s">
        <v>45</v>
      </c>
      <c r="D48" s="10" t="s">
        <v>46</v>
      </c>
      <c r="E48" s="13"/>
    </row>
    <row r="49" customHeight="1" spans="1:5">
      <c r="A49" s="10">
        <v>7</v>
      </c>
      <c r="B49" s="14" t="s">
        <v>145</v>
      </c>
      <c r="C49" s="4" t="s">
        <v>51</v>
      </c>
      <c r="D49" s="16" t="s">
        <v>46</v>
      </c>
      <c r="E49" s="13"/>
    </row>
    <row r="50" customHeight="1" spans="1:5">
      <c r="A50" s="10">
        <v>8</v>
      </c>
      <c r="B50" s="11" t="s">
        <v>1530</v>
      </c>
      <c r="C50" s="4" t="s">
        <v>51</v>
      </c>
      <c r="D50" s="10" t="s">
        <v>212</v>
      </c>
      <c r="E50" s="13"/>
    </row>
    <row r="51" customHeight="1" spans="1:5">
      <c r="A51" s="10">
        <v>9</v>
      </c>
      <c r="B51" s="11" t="s">
        <v>44</v>
      </c>
      <c r="C51" s="4" t="s">
        <v>852</v>
      </c>
      <c r="D51" s="10" t="s">
        <v>502</v>
      </c>
      <c r="E51" s="13"/>
    </row>
    <row r="52" customHeight="1" spans="1:5">
      <c r="A52" s="10">
        <v>10</v>
      </c>
      <c r="B52" s="11" t="s">
        <v>153</v>
      </c>
      <c r="C52" s="4" t="s">
        <v>150</v>
      </c>
      <c r="D52" s="10" t="s">
        <v>344</v>
      </c>
      <c r="E52" s="13"/>
    </row>
    <row r="53" customHeight="1" spans="1:5">
      <c r="A53" s="10">
        <v>11</v>
      </c>
      <c r="B53" s="11" t="s">
        <v>840</v>
      </c>
      <c r="C53" s="4" t="s">
        <v>150</v>
      </c>
      <c r="D53" s="10" t="s">
        <v>344</v>
      </c>
      <c r="E53" s="13"/>
    </row>
    <row r="54" customHeight="1" spans="1:5">
      <c r="A54" s="10">
        <v>12</v>
      </c>
      <c r="B54" s="11" t="s">
        <v>154</v>
      </c>
      <c r="C54" s="4" t="s">
        <v>150</v>
      </c>
      <c r="D54" s="10" t="s">
        <v>344</v>
      </c>
      <c r="E54" s="13"/>
    </row>
    <row r="55" ht="25.5" customHeight="1" spans="1:5">
      <c r="A55" s="10"/>
      <c r="B55" s="20" t="s">
        <v>120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156</v>
      </c>
      <c r="C57" s="21"/>
      <c r="D57" s="21"/>
      <c r="E57" s="13"/>
    </row>
    <row r="58" customHeight="1" spans="1:5">
      <c r="A58" s="10">
        <v>1</v>
      </c>
      <c r="B58" s="11" t="s">
        <v>841</v>
      </c>
      <c r="C58" s="12" t="s">
        <v>158</v>
      </c>
      <c r="D58" s="15" t="s">
        <v>124</v>
      </c>
      <c r="E58" s="13"/>
    </row>
    <row r="59" customHeight="1" spans="1:5">
      <c r="A59" s="10">
        <v>2</v>
      </c>
      <c r="B59" s="11" t="s">
        <v>159</v>
      </c>
      <c r="C59" s="12" t="s">
        <v>160</v>
      </c>
      <c r="D59" s="15" t="s">
        <v>850</v>
      </c>
      <c r="E59" s="13"/>
    </row>
    <row r="60" customHeight="1" spans="1:5">
      <c r="A60" s="10"/>
      <c r="B60" s="20" t="s">
        <v>120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162</v>
      </c>
      <c r="C62" s="21"/>
      <c r="D62" s="21"/>
      <c r="E62" s="13"/>
    </row>
    <row r="63" customHeight="1" spans="1:5">
      <c r="A63" s="10">
        <v>1</v>
      </c>
      <c r="B63" s="11" t="s">
        <v>842</v>
      </c>
      <c r="C63" s="17" t="s">
        <v>843</v>
      </c>
      <c r="D63" s="10" t="s">
        <v>124</v>
      </c>
      <c r="E63" s="13"/>
    </row>
    <row r="64" customHeight="1" spans="1:5">
      <c r="A64" s="10">
        <v>2</v>
      </c>
      <c r="B64" s="18" t="s">
        <v>844</v>
      </c>
      <c r="C64" s="17" t="s">
        <v>845</v>
      </c>
      <c r="D64" s="15" t="s">
        <v>1461</v>
      </c>
      <c r="E64" s="13"/>
    </row>
    <row r="65" customHeight="1" spans="1:5">
      <c r="A65" s="10">
        <v>3</v>
      </c>
      <c r="B65" s="11" t="s">
        <v>165</v>
      </c>
      <c r="C65" s="4" t="s">
        <v>167</v>
      </c>
      <c r="D65" s="10" t="s">
        <v>502</v>
      </c>
      <c r="E65" s="13"/>
    </row>
    <row r="66" customHeight="1" spans="1:5">
      <c r="A66" s="10">
        <v>4</v>
      </c>
      <c r="B66" s="18" t="s">
        <v>846</v>
      </c>
      <c r="C66" s="17" t="s">
        <v>167</v>
      </c>
      <c r="D66" s="15" t="s">
        <v>215</v>
      </c>
      <c r="E66" s="13"/>
    </row>
    <row r="67" customHeight="1" spans="1:5">
      <c r="A67" s="10">
        <v>5</v>
      </c>
      <c r="B67" s="14" t="s">
        <v>847</v>
      </c>
      <c r="C67" s="17" t="s">
        <v>51</v>
      </c>
      <c r="D67" s="15" t="s">
        <v>46</v>
      </c>
      <c r="E67" s="13"/>
    </row>
    <row r="68" customHeight="1" spans="1:5">
      <c r="A68" s="10">
        <v>6</v>
      </c>
      <c r="B68" s="14" t="s">
        <v>42</v>
      </c>
      <c r="C68" s="17" t="s">
        <v>51</v>
      </c>
      <c r="D68" s="15" t="s">
        <v>212</v>
      </c>
      <c r="E68" s="13"/>
    </row>
    <row r="69" customHeight="1" spans="1:5">
      <c r="A69" s="10">
        <v>7</v>
      </c>
      <c r="B69" s="11" t="s">
        <v>169</v>
      </c>
      <c r="C69" s="4" t="s">
        <v>150</v>
      </c>
      <c r="D69" s="10" t="s">
        <v>504</v>
      </c>
      <c r="E69" s="13"/>
    </row>
    <row r="70" customHeight="1" spans="1:5">
      <c r="A70" s="10">
        <v>8</v>
      </c>
      <c r="B70" s="11" t="s">
        <v>171</v>
      </c>
      <c r="C70" s="17" t="s">
        <v>71</v>
      </c>
      <c r="D70" s="15" t="s">
        <v>504</v>
      </c>
      <c r="E70" s="13"/>
    </row>
    <row r="71" customHeight="1" spans="1:5">
      <c r="A71" s="10">
        <v>9</v>
      </c>
      <c r="B71" s="11" t="s">
        <v>172</v>
      </c>
      <c r="C71" s="17" t="s">
        <v>71</v>
      </c>
      <c r="D71" s="15" t="s">
        <v>504</v>
      </c>
      <c r="E71" s="13"/>
    </row>
    <row r="72" customHeight="1" spans="1:5">
      <c r="A72" s="10">
        <v>10</v>
      </c>
      <c r="B72" s="11" t="s">
        <v>173</v>
      </c>
      <c r="C72" s="4" t="s">
        <v>553</v>
      </c>
      <c r="D72" s="10" t="s">
        <v>131</v>
      </c>
      <c r="E72" s="13"/>
    </row>
    <row r="73" customHeight="1" spans="1:5">
      <c r="A73" s="10">
        <v>11</v>
      </c>
      <c r="B73" s="11" t="s">
        <v>1613</v>
      </c>
      <c r="C73" s="17" t="s">
        <v>150</v>
      </c>
      <c r="D73" s="10" t="s">
        <v>74</v>
      </c>
      <c r="E73" s="13"/>
    </row>
    <row r="74" customHeight="1" spans="1:5">
      <c r="A74" s="10">
        <v>12</v>
      </c>
      <c r="B74" s="11" t="s">
        <v>81</v>
      </c>
      <c r="C74" s="17" t="s">
        <v>68</v>
      </c>
      <c r="D74" s="10" t="s">
        <v>99</v>
      </c>
      <c r="E74" s="13"/>
    </row>
    <row r="75" customHeight="1" spans="1:5">
      <c r="A75" s="10">
        <v>13</v>
      </c>
      <c r="B75" s="14" t="s">
        <v>67</v>
      </c>
      <c r="C75" s="17" t="s">
        <v>68</v>
      </c>
      <c r="D75" s="10" t="s">
        <v>111</v>
      </c>
      <c r="E75" s="13"/>
    </row>
    <row r="76" customHeight="1" spans="1:5">
      <c r="A76" s="10"/>
      <c r="B76" s="20" t="s">
        <v>120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180</v>
      </c>
      <c r="C78" s="21"/>
      <c r="D78" s="21"/>
      <c r="E78" s="13"/>
    </row>
    <row r="79" customHeight="1" spans="1:5">
      <c r="A79" s="10">
        <v>1</v>
      </c>
      <c r="B79" s="11" t="s">
        <v>181</v>
      </c>
      <c r="C79" s="4" t="s">
        <v>182</v>
      </c>
      <c r="D79" s="10" t="s">
        <v>124</v>
      </c>
      <c r="E79" s="13"/>
    </row>
    <row r="80" customHeight="1" spans="1:5">
      <c r="A80" s="10">
        <v>2</v>
      </c>
      <c r="B80" s="14" t="s">
        <v>848</v>
      </c>
      <c r="C80" s="4" t="s">
        <v>849</v>
      </c>
      <c r="D80" s="15" t="s">
        <v>1461</v>
      </c>
      <c r="E80" s="13"/>
    </row>
    <row r="81" customHeight="1" spans="1:5">
      <c r="A81" s="10">
        <v>3</v>
      </c>
      <c r="B81" s="14" t="s">
        <v>1614</v>
      </c>
      <c r="C81" s="4" t="s">
        <v>1615</v>
      </c>
      <c r="D81" s="15" t="s">
        <v>1461</v>
      </c>
      <c r="E81" s="13"/>
    </row>
    <row r="82" customHeight="1" spans="1:5">
      <c r="A82" s="10">
        <v>4</v>
      </c>
      <c r="B82" s="11" t="s">
        <v>187</v>
      </c>
      <c r="C82" s="4" t="s">
        <v>1474</v>
      </c>
      <c r="D82" s="15" t="s">
        <v>502</v>
      </c>
      <c r="E82" s="13"/>
    </row>
    <row r="83" customHeight="1" spans="1:5">
      <c r="A83" s="10">
        <v>5</v>
      </c>
      <c r="B83" s="11" t="s">
        <v>194</v>
      </c>
      <c r="C83" s="4" t="s">
        <v>179</v>
      </c>
      <c r="D83" s="10" t="s">
        <v>74</v>
      </c>
      <c r="E83" s="13"/>
    </row>
    <row r="84" customHeight="1" spans="1:5">
      <c r="A84" s="10"/>
      <c r="B84" s="20" t="s">
        <v>120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202</v>
      </c>
      <c r="C86" s="25"/>
      <c r="D86" s="21"/>
      <c r="E86" s="13"/>
    </row>
    <row r="87" customHeight="1" spans="1:5">
      <c r="A87" s="10">
        <v>1</v>
      </c>
      <c r="B87" s="11" t="s">
        <v>205</v>
      </c>
      <c r="C87" s="4" t="s">
        <v>142</v>
      </c>
      <c r="D87" s="10" t="s">
        <v>38</v>
      </c>
      <c r="E87" s="13"/>
    </row>
    <row r="88" customHeight="1" spans="1:5">
      <c r="A88" s="10">
        <v>2</v>
      </c>
      <c r="B88" s="11" t="s">
        <v>203</v>
      </c>
      <c r="C88" s="4" t="s">
        <v>142</v>
      </c>
      <c r="D88" s="10" t="s">
        <v>38</v>
      </c>
      <c r="E88" s="13"/>
    </row>
    <row r="89" customHeight="1" spans="1:5">
      <c r="A89" s="10">
        <v>3</v>
      </c>
      <c r="B89" s="14" t="s">
        <v>163</v>
      </c>
      <c r="C89" s="4" t="s">
        <v>51</v>
      </c>
      <c r="D89" s="10" t="s">
        <v>189</v>
      </c>
      <c r="E89" s="13"/>
    </row>
    <row r="90" customHeight="1" spans="1:5">
      <c r="A90" s="10">
        <v>4</v>
      </c>
      <c r="B90" s="11" t="s">
        <v>208</v>
      </c>
      <c r="C90" s="4" t="s">
        <v>45</v>
      </c>
      <c r="D90" s="10" t="s">
        <v>46</v>
      </c>
      <c r="E90" s="13"/>
    </row>
    <row r="91" ht="21.6" customHeight="1" spans="1:5">
      <c r="A91" s="10">
        <v>5</v>
      </c>
      <c r="B91" s="11" t="s">
        <v>209</v>
      </c>
      <c r="C91" s="4" t="s">
        <v>852</v>
      </c>
      <c r="D91" s="15" t="s">
        <v>502</v>
      </c>
      <c r="E91" s="13"/>
    </row>
    <row r="92" ht="21.6" customHeight="1" spans="1:5">
      <c r="A92" s="10">
        <v>6</v>
      </c>
      <c r="B92" s="11" t="s">
        <v>210</v>
      </c>
      <c r="C92" s="12" t="s">
        <v>167</v>
      </c>
      <c r="D92" s="15" t="s">
        <v>215</v>
      </c>
      <c r="E92" s="13"/>
    </row>
    <row r="93" ht="21.6" customHeight="1" spans="1:5">
      <c r="A93" s="10">
        <v>7</v>
      </c>
      <c r="B93" s="11" t="s">
        <v>211</v>
      </c>
      <c r="C93" s="12" t="s">
        <v>167</v>
      </c>
      <c r="D93" s="15" t="s">
        <v>215</v>
      </c>
      <c r="E93" s="13"/>
    </row>
    <row r="94" ht="21.6" customHeight="1" spans="1:5">
      <c r="A94" s="10">
        <v>8</v>
      </c>
      <c r="B94" s="11" t="s">
        <v>213</v>
      </c>
      <c r="C94" s="17" t="s">
        <v>71</v>
      </c>
      <c r="D94" s="15" t="s">
        <v>504</v>
      </c>
      <c r="E94" s="13"/>
    </row>
    <row r="95" ht="21.6" customHeight="1" spans="1:5">
      <c r="A95" s="10">
        <v>9</v>
      </c>
      <c r="B95" s="11" t="s">
        <v>217</v>
      </c>
      <c r="C95" s="4" t="s">
        <v>218</v>
      </c>
      <c r="D95" s="10" t="s">
        <v>80</v>
      </c>
      <c r="E95" s="13"/>
    </row>
    <row r="96" ht="21.6" customHeight="1" spans="1:5">
      <c r="A96" s="10">
        <v>10</v>
      </c>
      <c r="B96" s="11" t="s">
        <v>221</v>
      </c>
      <c r="C96" s="17" t="s">
        <v>222</v>
      </c>
      <c r="D96" s="15" t="s">
        <v>111</v>
      </c>
      <c r="E96" s="13"/>
    </row>
    <row r="97" customHeight="1" spans="1:5">
      <c r="A97" s="10"/>
      <c r="B97" s="20" t="s">
        <v>120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224</v>
      </c>
      <c r="C99" s="21"/>
      <c r="D99" s="21"/>
      <c r="E99" s="13"/>
    </row>
    <row r="100" customHeight="1" spans="1:5">
      <c r="A100" s="10">
        <v>1</v>
      </c>
      <c r="B100" s="18" t="s">
        <v>833</v>
      </c>
      <c r="C100" s="10" t="s">
        <v>834</v>
      </c>
      <c r="D100" s="15" t="s">
        <v>207</v>
      </c>
      <c r="E100" s="13"/>
    </row>
    <row r="101" customHeight="1" spans="1:5">
      <c r="A101" s="10">
        <v>2</v>
      </c>
      <c r="B101" s="11" t="s">
        <v>36</v>
      </c>
      <c r="C101" s="4" t="s">
        <v>228</v>
      </c>
      <c r="D101" s="10" t="s">
        <v>46</v>
      </c>
      <c r="E101" s="13"/>
    </row>
    <row r="102" customHeight="1" spans="1:5">
      <c r="A102" s="10">
        <v>3</v>
      </c>
      <c r="B102" s="11" t="s">
        <v>233</v>
      </c>
      <c r="C102" s="4" t="s">
        <v>555</v>
      </c>
      <c r="D102" s="15" t="s">
        <v>131</v>
      </c>
      <c r="E102" s="13"/>
    </row>
    <row r="103" customHeight="1" spans="1:5">
      <c r="A103" s="10">
        <v>4</v>
      </c>
      <c r="B103" s="11" t="s">
        <v>234</v>
      </c>
      <c r="C103" s="4" t="s">
        <v>1475</v>
      </c>
      <c r="D103" s="15" t="s">
        <v>105</v>
      </c>
      <c r="E103" s="13"/>
    </row>
    <row r="104" customHeight="1" spans="1:5">
      <c r="A104" s="4"/>
      <c r="B104" s="20" t="s">
        <v>120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237</v>
      </c>
      <c r="C106" s="4"/>
      <c r="D106" s="4"/>
      <c r="E106" s="13"/>
    </row>
    <row r="107" customHeight="1" spans="1:5">
      <c r="A107" s="4">
        <v>1</v>
      </c>
      <c r="B107" s="11" t="s">
        <v>556</v>
      </c>
      <c r="C107" s="12" t="s">
        <v>239</v>
      </c>
      <c r="D107" s="15" t="s">
        <v>124</v>
      </c>
      <c r="E107" s="13"/>
    </row>
    <row r="108" customHeight="1" spans="1:5">
      <c r="A108" s="4">
        <v>2</v>
      </c>
      <c r="B108" s="11" t="s">
        <v>240</v>
      </c>
      <c r="C108" s="4" t="s">
        <v>241</v>
      </c>
      <c r="D108" s="16" t="s">
        <v>207</v>
      </c>
      <c r="E108" s="13"/>
    </row>
    <row r="109" customHeight="1" spans="1:5">
      <c r="A109" s="4">
        <v>3</v>
      </c>
      <c r="B109" s="11" t="s">
        <v>242</v>
      </c>
      <c r="C109" s="4" t="s">
        <v>557</v>
      </c>
      <c r="D109" s="10" t="s">
        <v>55</v>
      </c>
      <c r="E109" s="13"/>
    </row>
    <row r="110" customHeight="1" spans="1:5">
      <c r="A110" s="4">
        <v>4</v>
      </c>
      <c r="B110" s="11" t="s">
        <v>244</v>
      </c>
      <c r="C110" s="4" t="s">
        <v>557</v>
      </c>
      <c r="D110" s="10" t="s">
        <v>55</v>
      </c>
      <c r="E110" s="13"/>
    </row>
    <row r="111" customHeight="1" spans="1:5">
      <c r="A111" s="4">
        <v>5</v>
      </c>
      <c r="B111" s="11" t="s">
        <v>247</v>
      </c>
      <c r="C111" s="4" t="s">
        <v>248</v>
      </c>
      <c r="D111" s="15" t="s">
        <v>223</v>
      </c>
      <c r="E111" s="13"/>
    </row>
    <row r="112" customHeight="1" spans="1:5">
      <c r="A112" s="4">
        <v>6</v>
      </c>
      <c r="B112" s="18" t="s">
        <v>250</v>
      </c>
      <c r="C112" s="4" t="s">
        <v>248</v>
      </c>
      <c r="D112" s="10" t="s">
        <v>105</v>
      </c>
      <c r="E112" s="13"/>
    </row>
    <row r="113" customHeight="1" spans="1:5">
      <c r="A113" s="4">
        <v>7</v>
      </c>
      <c r="B113" s="18" t="s">
        <v>251</v>
      </c>
      <c r="C113" s="4" t="s">
        <v>248</v>
      </c>
      <c r="D113" s="15" t="s">
        <v>111</v>
      </c>
      <c r="E113" s="13"/>
    </row>
    <row r="114" ht="25.5" customHeight="1" spans="1:5">
      <c r="A114" s="4"/>
      <c r="B114" s="20" t="s">
        <v>120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255</v>
      </c>
      <c r="C116" s="21"/>
      <c r="D116" s="21"/>
      <c r="E116" s="13"/>
    </row>
    <row r="117" customHeight="1" spans="1:5">
      <c r="A117" s="10">
        <v>1</v>
      </c>
      <c r="B117" s="11" t="s">
        <v>1538</v>
      </c>
      <c r="C117" s="17" t="s">
        <v>71</v>
      </c>
      <c r="D117" s="15" t="s">
        <v>69</v>
      </c>
      <c r="E117" s="13"/>
    </row>
    <row r="118" ht="18.75" customHeight="1" spans="1:5">
      <c r="A118" s="10">
        <v>2</v>
      </c>
      <c r="B118" s="11" t="s">
        <v>257</v>
      </c>
      <c r="C118" s="4" t="s">
        <v>258</v>
      </c>
      <c r="D118" s="15" t="s">
        <v>131</v>
      </c>
      <c r="E118" s="13"/>
    </row>
    <row r="119" ht="24.75" customHeight="1" spans="1:5">
      <c r="A119" s="4"/>
      <c r="B119" s="20" t="s">
        <v>120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279</v>
      </c>
      <c r="C121" s="21"/>
      <c r="D121" s="21"/>
      <c r="E121" s="13"/>
    </row>
    <row r="122" customHeight="1" spans="1:5">
      <c r="A122" s="4">
        <v>1</v>
      </c>
      <c r="B122" s="11" t="s">
        <v>280</v>
      </c>
      <c r="C122" s="12" t="s">
        <v>281</v>
      </c>
      <c r="D122" s="15" t="s">
        <v>124</v>
      </c>
      <c r="E122" s="13"/>
    </row>
    <row r="123" customHeight="1" spans="1:5">
      <c r="A123" s="4">
        <v>2</v>
      </c>
      <c r="B123" s="11" t="s">
        <v>1636</v>
      </c>
      <c r="C123" s="12" t="s">
        <v>1637</v>
      </c>
      <c r="D123" s="15" t="s">
        <v>35</v>
      </c>
      <c r="E123" s="13"/>
    </row>
    <row r="124" customHeight="1" spans="1:5">
      <c r="A124" s="4">
        <v>3</v>
      </c>
      <c r="B124" s="11" t="s">
        <v>282</v>
      </c>
      <c r="C124" s="12" t="s">
        <v>559</v>
      </c>
      <c r="D124" s="15" t="s">
        <v>38</v>
      </c>
      <c r="E124" s="13"/>
    </row>
    <row r="125" customHeight="1" spans="1:5">
      <c r="A125" s="4">
        <v>4</v>
      </c>
      <c r="B125" s="14" t="s">
        <v>284</v>
      </c>
      <c r="C125" s="12" t="s">
        <v>559</v>
      </c>
      <c r="D125" s="15" t="s">
        <v>38</v>
      </c>
      <c r="E125" s="13"/>
    </row>
    <row r="126" customHeight="1" spans="1:5">
      <c r="A126" s="4">
        <v>5</v>
      </c>
      <c r="B126" s="14" t="s">
        <v>855</v>
      </c>
      <c r="C126" s="12" t="s">
        <v>559</v>
      </c>
      <c r="D126" s="15" t="s">
        <v>41</v>
      </c>
      <c r="E126" s="13"/>
    </row>
    <row r="127" customHeight="1" spans="1:5">
      <c r="A127" s="4">
        <v>6</v>
      </c>
      <c r="B127" s="11" t="s">
        <v>287</v>
      </c>
      <c r="C127" s="12" t="s">
        <v>289</v>
      </c>
      <c r="D127" s="15" t="s">
        <v>212</v>
      </c>
      <c r="E127" s="13"/>
    </row>
    <row r="128" customHeight="1" spans="1:5">
      <c r="A128" s="4">
        <v>7</v>
      </c>
      <c r="B128" s="11" t="s">
        <v>288</v>
      </c>
      <c r="C128" s="12" t="s">
        <v>560</v>
      </c>
      <c r="D128" s="15" t="s">
        <v>502</v>
      </c>
      <c r="E128" s="13"/>
    </row>
    <row r="129" customHeight="1" spans="1:5">
      <c r="A129" s="4">
        <v>8</v>
      </c>
      <c r="B129" s="11" t="s">
        <v>290</v>
      </c>
      <c r="C129" s="12" t="s">
        <v>1476</v>
      </c>
      <c r="D129" s="15" t="s">
        <v>502</v>
      </c>
      <c r="E129" s="13"/>
    </row>
    <row r="130" customHeight="1" spans="1:5">
      <c r="A130" s="4">
        <v>9</v>
      </c>
      <c r="B130" s="11" t="s">
        <v>293</v>
      </c>
      <c r="C130" s="12" t="s">
        <v>561</v>
      </c>
      <c r="D130" s="10" t="s">
        <v>99</v>
      </c>
      <c r="E130" s="13"/>
    </row>
    <row r="131" customHeight="1" spans="1:5">
      <c r="A131" s="4">
        <v>10</v>
      </c>
      <c r="B131" s="18" t="s">
        <v>295</v>
      </c>
      <c r="C131" s="12" t="s">
        <v>296</v>
      </c>
      <c r="D131" s="15" t="s">
        <v>276</v>
      </c>
      <c r="E131" s="13"/>
    </row>
    <row r="132" customHeight="1" spans="1:5">
      <c r="A132" s="4"/>
      <c r="B132" s="20" t="s">
        <v>120</v>
      </c>
      <c r="C132" s="26" t="s">
        <v>562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300</v>
      </c>
      <c r="C134" s="12"/>
      <c r="D134" s="15"/>
      <c r="E134" s="13"/>
    </row>
    <row r="135" customHeight="1" spans="1:5">
      <c r="A135" s="27">
        <v>1</v>
      </c>
      <c r="B135" s="11" t="s">
        <v>856</v>
      </c>
      <c r="C135" s="12" t="s">
        <v>857</v>
      </c>
      <c r="D135" s="15" t="s">
        <v>124</v>
      </c>
      <c r="E135" s="13"/>
    </row>
    <row r="136" customHeight="1" spans="1:5">
      <c r="A136" s="27">
        <v>2</v>
      </c>
      <c r="B136" s="11" t="s">
        <v>858</v>
      </c>
      <c r="C136" s="12" t="s">
        <v>859</v>
      </c>
      <c r="D136" s="15" t="s">
        <v>35</v>
      </c>
      <c r="E136" s="13"/>
    </row>
    <row r="137" customHeight="1" spans="1:5">
      <c r="A137" s="27">
        <v>3</v>
      </c>
      <c r="B137" s="14" t="s">
        <v>304</v>
      </c>
      <c r="C137" s="4" t="s">
        <v>305</v>
      </c>
      <c r="D137" s="16" t="s">
        <v>207</v>
      </c>
      <c r="E137" s="13"/>
    </row>
    <row r="138" customHeight="1" spans="1:5">
      <c r="A138" s="27">
        <v>4</v>
      </c>
      <c r="B138" s="11" t="s">
        <v>306</v>
      </c>
      <c r="C138" s="12" t="s">
        <v>860</v>
      </c>
      <c r="D138" s="15" t="s">
        <v>46</v>
      </c>
      <c r="E138" s="13"/>
    </row>
    <row r="139" customHeight="1" spans="1:5">
      <c r="A139" s="27">
        <v>5</v>
      </c>
      <c r="B139" s="11" t="s">
        <v>308</v>
      </c>
      <c r="C139" s="4" t="s">
        <v>312</v>
      </c>
      <c r="D139" s="15" t="s">
        <v>46</v>
      </c>
      <c r="E139" s="13"/>
    </row>
    <row r="140" customHeight="1" spans="1:5">
      <c r="A140" s="27">
        <v>6</v>
      </c>
      <c r="B140" s="11" t="s">
        <v>227</v>
      </c>
      <c r="C140" s="4" t="s">
        <v>862</v>
      </c>
      <c r="D140" s="15" t="s">
        <v>502</v>
      </c>
      <c r="E140" s="13"/>
    </row>
    <row r="141" customHeight="1" spans="1:5">
      <c r="A141" s="27">
        <v>7</v>
      </c>
      <c r="B141" s="11" t="s">
        <v>229</v>
      </c>
      <c r="C141" s="12" t="s">
        <v>861</v>
      </c>
      <c r="D141" s="15" t="s">
        <v>69</v>
      </c>
      <c r="E141" s="13"/>
    </row>
    <row r="142" customHeight="1" spans="1:5">
      <c r="A142" s="27">
        <v>8</v>
      </c>
      <c r="B142" s="11" t="s">
        <v>313</v>
      </c>
      <c r="C142" s="12" t="s">
        <v>861</v>
      </c>
      <c r="D142" s="15" t="s">
        <v>69</v>
      </c>
      <c r="E142" s="13"/>
    </row>
    <row r="143" customHeight="1" spans="1:5">
      <c r="A143" s="27">
        <v>9</v>
      </c>
      <c r="B143" s="11" t="s">
        <v>314</v>
      </c>
      <c r="C143" s="4" t="s">
        <v>862</v>
      </c>
      <c r="D143" s="15" t="s">
        <v>69</v>
      </c>
      <c r="E143" s="13"/>
    </row>
    <row r="144" customHeight="1" spans="1:5">
      <c r="A144" s="27">
        <v>10</v>
      </c>
      <c r="B144" s="11" t="s">
        <v>316</v>
      </c>
      <c r="C144" s="12" t="s">
        <v>564</v>
      </c>
      <c r="D144" s="15" t="s">
        <v>131</v>
      </c>
      <c r="E144" s="13"/>
    </row>
    <row r="145" customHeight="1" spans="1:5">
      <c r="A145" s="27">
        <v>11</v>
      </c>
      <c r="B145" s="11" t="s">
        <v>318</v>
      </c>
      <c r="C145" s="12" t="s">
        <v>1478</v>
      </c>
      <c r="D145" s="15" t="s">
        <v>151</v>
      </c>
      <c r="E145" s="13"/>
    </row>
    <row r="146" customHeight="1" spans="1:5">
      <c r="A146" s="27">
        <v>12</v>
      </c>
      <c r="B146" s="11" t="s">
        <v>61</v>
      </c>
      <c r="C146" s="12" t="s">
        <v>863</v>
      </c>
      <c r="D146" s="15" t="s">
        <v>69</v>
      </c>
      <c r="E146" s="13"/>
    </row>
    <row r="147" customHeight="1" spans="1:5">
      <c r="A147" s="27">
        <v>13</v>
      </c>
      <c r="B147" s="18" t="s">
        <v>320</v>
      </c>
      <c r="C147" s="4" t="s">
        <v>329</v>
      </c>
      <c r="D147" s="15" t="s">
        <v>151</v>
      </c>
      <c r="E147" s="13"/>
    </row>
    <row r="148" customHeight="1" spans="1:5">
      <c r="A148" s="27">
        <v>14</v>
      </c>
      <c r="B148" s="11" t="s">
        <v>322</v>
      </c>
      <c r="C148" s="4" t="s">
        <v>864</v>
      </c>
      <c r="D148" s="15" t="s">
        <v>74</v>
      </c>
      <c r="E148" s="13"/>
    </row>
    <row r="149" customHeight="1" spans="1:5">
      <c r="A149" s="27">
        <v>15</v>
      </c>
      <c r="B149" s="11" t="s">
        <v>323</v>
      </c>
      <c r="C149" s="4" t="s">
        <v>864</v>
      </c>
      <c r="D149" s="15" t="s">
        <v>77</v>
      </c>
      <c r="E149" s="13"/>
    </row>
    <row r="150" customHeight="1" spans="1:5">
      <c r="A150" s="27">
        <v>16</v>
      </c>
      <c r="B150" s="11" t="s">
        <v>325</v>
      </c>
      <c r="C150" s="4" t="s">
        <v>864</v>
      </c>
      <c r="D150" s="15" t="s">
        <v>77</v>
      </c>
      <c r="E150" s="13"/>
    </row>
    <row r="151" customHeight="1" spans="1:5">
      <c r="A151" s="27">
        <v>17</v>
      </c>
      <c r="B151" s="11" t="s">
        <v>326</v>
      </c>
      <c r="C151" s="12" t="s">
        <v>327</v>
      </c>
      <c r="D151" s="15" t="s">
        <v>80</v>
      </c>
      <c r="E151" s="13"/>
    </row>
    <row r="152" customHeight="1" spans="1:5">
      <c r="A152" s="27">
        <v>18</v>
      </c>
      <c r="B152" s="11" t="s">
        <v>1462</v>
      </c>
      <c r="C152" s="12" t="s">
        <v>329</v>
      </c>
      <c r="D152" s="10" t="s">
        <v>344</v>
      </c>
      <c r="E152" s="13"/>
    </row>
    <row r="153" customHeight="1" spans="1:5">
      <c r="A153" s="27">
        <v>19</v>
      </c>
      <c r="B153" s="11" t="s">
        <v>330</v>
      </c>
      <c r="C153" s="12" t="s">
        <v>565</v>
      </c>
      <c r="D153" s="15" t="s">
        <v>74</v>
      </c>
      <c r="E153" s="13"/>
    </row>
    <row r="154" customHeight="1" spans="1:5">
      <c r="A154" s="27">
        <v>20</v>
      </c>
      <c r="B154" s="11" t="s">
        <v>332</v>
      </c>
      <c r="C154" s="12" t="s">
        <v>566</v>
      </c>
      <c r="D154" s="15" t="s">
        <v>99</v>
      </c>
      <c r="E154" s="13"/>
    </row>
    <row r="155" customHeight="1" spans="1:5">
      <c r="A155" s="27">
        <v>21</v>
      </c>
      <c r="B155" s="11" t="s">
        <v>334</v>
      </c>
      <c r="C155" s="12" t="s">
        <v>567</v>
      </c>
      <c r="D155" s="15" t="s">
        <v>74</v>
      </c>
      <c r="E155" s="13"/>
    </row>
    <row r="156" customHeight="1" spans="1:5">
      <c r="A156" s="27">
        <v>22</v>
      </c>
      <c r="B156" s="11" t="s">
        <v>335</v>
      </c>
      <c r="C156" s="12" t="s">
        <v>568</v>
      </c>
      <c r="D156" s="15" t="s">
        <v>99</v>
      </c>
      <c r="E156" s="13"/>
    </row>
    <row r="157" customHeight="1" spans="1:5">
      <c r="A157" s="27">
        <v>23</v>
      </c>
      <c r="B157" s="18" t="s">
        <v>337</v>
      </c>
      <c r="C157" s="12" t="s">
        <v>348</v>
      </c>
      <c r="D157" s="15" t="s">
        <v>105</v>
      </c>
      <c r="E157" s="13"/>
    </row>
    <row r="158" customHeight="1" spans="1:5">
      <c r="A158" s="27">
        <v>24</v>
      </c>
      <c r="B158" s="18" t="s">
        <v>345</v>
      </c>
      <c r="C158" s="12" t="s">
        <v>346</v>
      </c>
      <c r="D158" s="15" t="s">
        <v>276</v>
      </c>
      <c r="E158" s="13"/>
    </row>
    <row r="159" customHeight="1" spans="1:5">
      <c r="A159" s="27">
        <v>25</v>
      </c>
      <c r="B159" s="18" t="s">
        <v>347</v>
      </c>
      <c r="C159" s="12" t="s">
        <v>348</v>
      </c>
      <c r="D159" s="15" t="s">
        <v>276</v>
      </c>
      <c r="E159" s="13"/>
    </row>
    <row r="160" customHeight="1" spans="1:5">
      <c r="A160" s="27">
        <v>26</v>
      </c>
      <c r="B160" s="18" t="s">
        <v>349</v>
      </c>
      <c r="C160" s="12" t="s">
        <v>350</v>
      </c>
      <c r="D160" s="15" t="s">
        <v>111</v>
      </c>
      <c r="E160" s="13"/>
    </row>
    <row r="161" customHeight="1" spans="1:5">
      <c r="A161" s="27">
        <v>27</v>
      </c>
      <c r="B161" s="18" t="s">
        <v>351</v>
      </c>
      <c r="C161" s="12" t="s">
        <v>569</v>
      </c>
      <c r="D161" s="15" t="s">
        <v>111</v>
      </c>
      <c r="E161" s="13"/>
    </row>
    <row r="162" customHeight="1" spans="1:5">
      <c r="A162" s="27">
        <v>28</v>
      </c>
      <c r="B162" s="11" t="s">
        <v>361</v>
      </c>
      <c r="C162" s="12" t="s">
        <v>362</v>
      </c>
      <c r="D162" s="15" t="s">
        <v>381</v>
      </c>
      <c r="E162" s="13"/>
    </row>
    <row r="163" customHeight="1" spans="1:5">
      <c r="A163" s="27">
        <v>29</v>
      </c>
      <c r="B163" s="11" t="s">
        <v>364</v>
      </c>
      <c r="C163" s="12" t="s">
        <v>362</v>
      </c>
      <c r="D163" s="15" t="s">
        <v>381</v>
      </c>
      <c r="E163" s="13"/>
    </row>
    <row r="164" customHeight="1" spans="1:5">
      <c r="A164" s="27">
        <v>30</v>
      </c>
      <c r="B164" s="11" t="s">
        <v>570</v>
      </c>
      <c r="C164" s="12" t="s">
        <v>362</v>
      </c>
      <c r="D164" s="15" t="s">
        <v>381</v>
      </c>
      <c r="E164" s="13"/>
    </row>
    <row r="165" customHeight="1" spans="1:5">
      <c r="A165" s="27">
        <v>31</v>
      </c>
      <c r="B165" s="11" t="s">
        <v>365</v>
      </c>
      <c r="C165" s="12" t="s">
        <v>362</v>
      </c>
      <c r="D165" s="15" t="s">
        <v>381</v>
      </c>
      <c r="E165" s="13"/>
    </row>
    <row r="166" customHeight="1" spans="1:5">
      <c r="A166" s="27">
        <v>32</v>
      </c>
      <c r="B166" s="11" t="s">
        <v>366</v>
      </c>
      <c r="C166" s="12" t="s">
        <v>362</v>
      </c>
      <c r="D166" s="15" t="s">
        <v>381</v>
      </c>
      <c r="E166" s="13"/>
    </row>
    <row r="167" customHeight="1" spans="1:5">
      <c r="A167" s="27">
        <v>33</v>
      </c>
      <c r="B167" s="11" t="s">
        <v>367</v>
      </c>
      <c r="C167" s="12" t="s">
        <v>362</v>
      </c>
      <c r="D167" s="15" t="s">
        <v>510</v>
      </c>
      <c r="E167" s="13"/>
    </row>
    <row r="168" customHeight="1" spans="1:5">
      <c r="A168" s="27">
        <v>34</v>
      </c>
      <c r="B168" s="11" t="s">
        <v>369</v>
      </c>
      <c r="C168" s="12" t="s">
        <v>362</v>
      </c>
      <c r="D168" s="15" t="s">
        <v>510</v>
      </c>
      <c r="E168" s="13"/>
    </row>
    <row r="169" customHeight="1" spans="1:5">
      <c r="A169" s="27">
        <v>35</v>
      </c>
      <c r="B169" s="11" t="s">
        <v>1619</v>
      </c>
      <c r="C169" s="12" t="s">
        <v>362</v>
      </c>
      <c r="D169" s="15" t="s">
        <v>510</v>
      </c>
      <c r="E169" s="13"/>
    </row>
    <row r="170" customHeight="1" spans="1:5">
      <c r="A170" s="27">
        <v>36</v>
      </c>
      <c r="B170" s="14" t="s">
        <v>370</v>
      </c>
      <c r="C170" s="12" t="s">
        <v>362</v>
      </c>
      <c r="D170" s="15" t="s">
        <v>510</v>
      </c>
      <c r="E170" s="13"/>
    </row>
    <row r="171" customHeight="1" spans="1:5">
      <c r="A171" s="27">
        <v>37</v>
      </c>
      <c r="B171" s="11" t="s">
        <v>371</v>
      </c>
      <c r="C171" s="12" t="s">
        <v>362</v>
      </c>
      <c r="D171" s="15" t="s">
        <v>510</v>
      </c>
      <c r="E171" s="13"/>
    </row>
    <row r="172" customHeight="1" spans="1:5">
      <c r="A172" s="27">
        <v>38</v>
      </c>
      <c r="B172" s="18" t="s">
        <v>372</v>
      </c>
      <c r="C172" s="12" t="s">
        <v>362</v>
      </c>
      <c r="D172" s="15" t="s">
        <v>510</v>
      </c>
      <c r="E172" s="13"/>
    </row>
    <row r="173" customHeight="1" spans="1:5">
      <c r="A173" s="27">
        <v>39</v>
      </c>
      <c r="B173" s="18" t="s">
        <v>359</v>
      </c>
      <c r="C173" s="12" t="s">
        <v>362</v>
      </c>
      <c r="D173" s="15" t="s">
        <v>510</v>
      </c>
      <c r="E173" s="13"/>
    </row>
    <row r="174" customHeight="1" spans="1:5">
      <c r="A174" s="27">
        <v>40</v>
      </c>
      <c r="B174" s="11" t="s">
        <v>373</v>
      </c>
      <c r="C174" s="12" t="s">
        <v>393</v>
      </c>
      <c r="D174" s="15" t="s">
        <v>512</v>
      </c>
      <c r="E174" s="13"/>
    </row>
    <row r="175" customHeight="1" spans="1:5">
      <c r="A175" s="27">
        <v>41</v>
      </c>
      <c r="B175" s="11" t="s">
        <v>376</v>
      </c>
      <c r="C175" s="12" t="s">
        <v>393</v>
      </c>
      <c r="D175" s="15" t="s">
        <v>512</v>
      </c>
      <c r="E175" s="13"/>
    </row>
    <row r="176" customHeight="1" spans="1:5">
      <c r="A176" s="27">
        <v>42</v>
      </c>
      <c r="B176" s="18" t="s">
        <v>377</v>
      </c>
      <c r="C176" s="12" t="s">
        <v>393</v>
      </c>
      <c r="D176" s="15" t="s">
        <v>391</v>
      </c>
      <c r="E176" s="13"/>
    </row>
    <row r="177" customHeight="1" spans="1:5">
      <c r="A177" s="27">
        <v>43</v>
      </c>
      <c r="B177" s="11" t="s">
        <v>379</v>
      </c>
      <c r="C177" s="12" t="s">
        <v>393</v>
      </c>
      <c r="D177" s="15" t="s">
        <v>408</v>
      </c>
      <c r="E177" s="13"/>
    </row>
    <row r="178" customHeight="1" spans="1:5">
      <c r="A178" s="27">
        <v>44</v>
      </c>
      <c r="B178" s="11" t="s">
        <v>382</v>
      </c>
      <c r="C178" s="12" t="s">
        <v>390</v>
      </c>
      <c r="D178" s="15" t="s">
        <v>1463</v>
      </c>
      <c r="E178" s="13"/>
    </row>
    <row r="179" customHeight="1" spans="1:5">
      <c r="A179" s="27">
        <v>45</v>
      </c>
      <c r="B179" s="11" t="s">
        <v>383</v>
      </c>
      <c r="C179" s="12" t="s">
        <v>390</v>
      </c>
      <c r="D179" s="15" t="s">
        <v>1463</v>
      </c>
      <c r="E179" s="13"/>
    </row>
    <row r="180" customHeight="1" spans="1:5">
      <c r="A180" s="27">
        <v>46</v>
      </c>
      <c r="B180" s="11" t="s">
        <v>384</v>
      </c>
      <c r="C180" s="12" t="s">
        <v>390</v>
      </c>
      <c r="D180" s="15" t="s">
        <v>1463</v>
      </c>
      <c r="E180" s="13"/>
    </row>
    <row r="181" customHeight="1" spans="1:5">
      <c r="A181" s="27">
        <v>47</v>
      </c>
      <c r="B181" s="11" t="s">
        <v>385</v>
      </c>
      <c r="C181" s="12" t="s">
        <v>390</v>
      </c>
      <c r="D181" s="15" t="s">
        <v>1463</v>
      </c>
      <c r="E181" s="13"/>
    </row>
    <row r="182" customHeight="1" spans="1:5">
      <c r="A182" s="27">
        <v>48</v>
      </c>
      <c r="B182" s="11" t="s">
        <v>386</v>
      </c>
      <c r="C182" s="12" t="s">
        <v>390</v>
      </c>
      <c r="D182" s="15" t="s">
        <v>1463</v>
      </c>
      <c r="E182" s="13"/>
    </row>
    <row r="183" customHeight="1" spans="1:5">
      <c r="A183" s="27">
        <v>49</v>
      </c>
      <c r="B183" s="18" t="s">
        <v>387</v>
      </c>
      <c r="C183" s="12" t="s">
        <v>390</v>
      </c>
      <c r="D183" s="15" t="s">
        <v>1463</v>
      </c>
      <c r="E183" s="13"/>
    </row>
    <row r="184" customHeight="1" spans="1:5">
      <c r="A184" s="27">
        <v>50</v>
      </c>
      <c r="B184" s="18" t="s">
        <v>389</v>
      </c>
      <c r="C184" s="12" t="s">
        <v>390</v>
      </c>
      <c r="D184" s="15" t="s">
        <v>1463</v>
      </c>
      <c r="E184" s="13"/>
    </row>
    <row r="185" customHeight="1" spans="1:5">
      <c r="A185" s="27">
        <v>51</v>
      </c>
      <c r="B185" s="11" t="s">
        <v>572</v>
      </c>
      <c r="C185" s="12" t="s">
        <v>393</v>
      </c>
      <c r="D185" s="15" t="s">
        <v>1463</v>
      </c>
      <c r="E185" s="13"/>
    </row>
    <row r="186" customHeight="1" spans="1:5">
      <c r="A186" s="27">
        <v>52</v>
      </c>
      <c r="B186" s="11" t="s">
        <v>392</v>
      </c>
      <c r="C186" s="12" t="s">
        <v>393</v>
      </c>
      <c r="D186" s="15" t="s">
        <v>1463</v>
      </c>
      <c r="E186" s="13"/>
    </row>
    <row r="187" customHeight="1" spans="1:5">
      <c r="A187" s="27">
        <v>53</v>
      </c>
      <c r="B187" s="18" t="s">
        <v>360</v>
      </c>
      <c r="C187" s="12" t="s">
        <v>390</v>
      </c>
      <c r="D187" s="15" t="s">
        <v>1479</v>
      </c>
      <c r="E187" s="13"/>
    </row>
    <row r="188" customHeight="1" spans="1:5">
      <c r="A188" s="27">
        <v>54</v>
      </c>
      <c r="B188" s="18" t="s">
        <v>397</v>
      </c>
      <c r="C188" s="12" t="s">
        <v>390</v>
      </c>
      <c r="D188" s="15" t="s">
        <v>513</v>
      </c>
      <c r="E188" s="13"/>
    </row>
    <row r="189" customHeight="1" spans="1:5">
      <c r="A189" s="27"/>
      <c r="B189" s="8" t="s">
        <v>120</v>
      </c>
      <c r="C189" s="28" t="s">
        <v>1622</v>
      </c>
      <c r="D189" s="29"/>
      <c r="E189" s="13"/>
    </row>
    <row r="190" ht="32.25" customHeight="1" spans="1:5">
      <c r="A190" s="4"/>
      <c r="B190" s="30" t="s">
        <v>411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124</vt:i4>
      </vt:variant>
    </vt:vector>
  </HeadingPairs>
  <TitlesOfParts>
    <vt:vector size="124" baseType="lpstr">
      <vt:lpstr>JANUARY 2026</vt:lpstr>
      <vt:lpstr>MEMO</vt:lpstr>
      <vt:lpstr>Changes in PAYE (4)</vt:lpstr>
      <vt:lpstr>New Steps, Pensions &amp; NHF</vt:lpstr>
      <vt:lpstr>Basic &amp; Pensions (2)</vt:lpstr>
      <vt:lpstr>Sheet18</vt:lpstr>
      <vt:lpstr>2025 Promotions (2)</vt:lpstr>
      <vt:lpstr>Christmas Welfare 2025 (2)</vt:lpstr>
      <vt:lpstr>Sum of Welfare (3)</vt:lpstr>
      <vt:lpstr>New NHF Enrolment (3)</vt:lpstr>
      <vt:lpstr>Sheet17</vt:lpstr>
      <vt:lpstr>Changes in PAYE (3)</vt:lpstr>
      <vt:lpstr>New NHF Enrolment (2)</vt:lpstr>
      <vt:lpstr>Sheet16</vt:lpstr>
      <vt:lpstr>2025 Promotions</vt:lpstr>
      <vt:lpstr>Conversion</vt:lpstr>
      <vt:lpstr>PAYE - Conversion</vt:lpstr>
      <vt:lpstr>Sheet15</vt:lpstr>
      <vt:lpstr>Changes in PAYE (2)</vt:lpstr>
      <vt:lpstr>Sheet14</vt:lpstr>
      <vt:lpstr>New Contract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WPS_1738148239</cp:lastModifiedBy>
  <dcterms:created xsi:type="dcterms:W3CDTF">2008-06-27T10:36:00Z</dcterms:created>
  <cp:lastPrinted>2024-11-05T10:10:00Z</cp:lastPrinted>
  <dcterms:modified xsi:type="dcterms:W3CDTF">2026-01-28T12:55:19Z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DE24BF30171349A69352FB417C38E2CB_13</vt:lpwstr>
  </property>
  <property fmtid="{D5CDD505-2E9C-101B-9397-08002B2CF9AE}" pid="3" name="KSOProductBuildVer">
    <vt:lpwstr>1033-12.2.0.23196</vt:lpwstr>
  </property>
</Properties>
</file>